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QUALIDADE\PADRONIZAÇÃO\Formulários\FORMULÁRIOS PADRONIZADOS\Corporativo\"/>
    </mc:Choice>
  </mc:AlternateContent>
  <bookViews>
    <workbookView xWindow="0" yWindow="0" windowWidth="19160" windowHeight="7230" firstSheet="1" activeTab="1"/>
  </bookViews>
  <sheets>
    <sheet name="Dados" sheetId="20" state="hidden" r:id="rId1"/>
    <sheet name="Proposta" sheetId="19" r:id="rId2"/>
    <sheet name="Processado 2" sheetId="2" state="hidden" r:id="rId3"/>
    <sheet name="Projeção" sheetId="9" state="hidden" r:id="rId4"/>
    <sheet name="Despesas" sheetId="12" state="hidden" r:id="rId5"/>
    <sheet name="Cargos " sheetId="13" state="hidden" r:id="rId6"/>
    <sheet name="Base %" sheetId="4" state="hidden" r:id="rId7"/>
    <sheet name="Encargos" sheetId="14" state="hidden" r:id="rId8"/>
    <sheet name="Tabela" sheetId="3" state="hidden" r:id="rId9"/>
    <sheet name="Plano de Contas" sheetId="8" state="hidden" r:id="rId10"/>
    <sheet name="Execução do PA iNOVA" sheetId="6" state="hidden" r:id="rId11"/>
    <sheet name="Balancete" sheetId="1" state="hidden" r:id="rId12"/>
  </sheets>
  <definedNames>
    <definedName name="GRUPO">Dados!$F$1:$F$8</definedName>
    <definedName name="GRUPOCLASSIFICA">Dados!$A$1:$B$121</definedName>
  </definedNames>
  <calcPr calcId="152511"/>
  <pivotCaches>
    <pivotCache cacheId="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9" l="1"/>
  <c r="E10" i="13" l="1"/>
  <c r="E11" i="13"/>
  <c r="E12" i="13"/>
  <c r="N12" i="13" s="1"/>
  <c r="E2" i="13"/>
  <c r="E3" i="13"/>
  <c r="N3" i="13" s="1"/>
  <c r="E4" i="13"/>
  <c r="E5" i="13"/>
  <c r="E6" i="13"/>
  <c r="E7" i="13"/>
  <c r="E8" i="13"/>
  <c r="E9" i="13"/>
  <c r="N9" i="13" s="1"/>
  <c r="C13" i="13"/>
  <c r="L2" i="13"/>
  <c r="M2" i="13" s="1"/>
  <c r="L3" i="13"/>
  <c r="M3" i="13" s="1"/>
  <c r="L4" i="13"/>
  <c r="M4" i="13" s="1"/>
  <c r="L5" i="13"/>
  <c r="M5" i="13" s="1"/>
  <c r="L6" i="13"/>
  <c r="M6" i="13" s="1"/>
  <c r="L7" i="13"/>
  <c r="M7" i="13" s="1"/>
  <c r="L8" i="13"/>
  <c r="M8" i="13" s="1"/>
  <c r="L9" i="13"/>
  <c r="M9" i="13" s="1"/>
  <c r="L10" i="13"/>
  <c r="M10" i="13" s="1"/>
  <c r="L11" i="13"/>
  <c r="M11" i="13" s="1"/>
  <c r="L12" i="13"/>
  <c r="M12" i="13" s="1"/>
  <c r="F23" i="13"/>
  <c r="F24" i="13"/>
  <c r="F25" i="13"/>
  <c r="F26" i="13"/>
  <c r="F27" i="13"/>
  <c r="F28" i="13"/>
  <c r="F29" i="13"/>
  <c r="F22" i="13"/>
  <c r="F18" i="13"/>
  <c r="F19" i="13" s="1"/>
  <c r="E19" i="13"/>
  <c r="E18" i="13"/>
  <c r="D20" i="13"/>
  <c r="E23" i="9"/>
  <c r="F23" i="9" s="1"/>
  <c r="E8" i="6"/>
  <c r="E9" i="6" s="1"/>
  <c r="F9" i="6"/>
  <c r="F10" i="6"/>
  <c r="F11" i="6"/>
  <c r="F12" i="6"/>
  <c r="F13" i="6"/>
  <c r="E14" i="6"/>
  <c r="F14" i="6"/>
  <c r="E15" i="6"/>
  <c r="F15" i="6"/>
  <c r="F16" i="6"/>
  <c r="F17" i="6"/>
  <c r="E18" i="6"/>
  <c r="F18" i="6"/>
  <c r="E19" i="6"/>
  <c r="F19" i="6"/>
  <c r="E21" i="6"/>
  <c r="E24" i="6" s="1"/>
  <c r="F22" i="6"/>
  <c r="F23" i="6"/>
  <c r="F24" i="6"/>
  <c r="F25" i="6"/>
  <c r="E27" i="6"/>
  <c r="E30" i="6" s="1"/>
  <c r="E40" i="6"/>
  <c r="E43" i="6" s="1"/>
  <c r="F41" i="6"/>
  <c r="F42" i="6"/>
  <c r="F43" i="6"/>
  <c r="E44" i="6"/>
  <c r="F44" i="6"/>
  <c r="F45" i="6"/>
  <c r="F46" i="6"/>
  <c r="F47" i="6"/>
  <c r="F48" i="6"/>
  <c r="E50" i="6"/>
  <c r="E51" i="6" s="1"/>
  <c r="F51" i="6"/>
  <c r="F52" i="6"/>
  <c r="F53" i="6"/>
  <c r="F54" i="6"/>
  <c r="E55" i="6"/>
  <c r="F55" i="6"/>
  <c r="F56" i="6"/>
  <c r="E57" i="6"/>
  <c r="F57" i="6"/>
  <c r="F58" i="6"/>
  <c r="F59" i="6"/>
  <c r="F60" i="6"/>
  <c r="F28" i="9"/>
  <c r="D32" i="9" s="1"/>
  <c r="F46" i="9"/>
  <c r="F47" i="9"/>
  <c r="F36" i="9"/>
  <c r="F37" i="9"/>
  <c r="F38" i="9"/>
  <c r="F39" i="9"/>
  <c r="F40" i="9"/>
  <c r="F41" i="9"/>
  <c r="E42" i="9"/>
  <c r="F42" i="9" s="1"/>
  <c r="F43" i="9"/>
  <c r="F45" i="9"/>
  <c r="F44" i="9"/>
  <c r="I19" i="13"/>
  <c r="I21" i="13"/>
  <c r="I20" i="13"/>
  <c r="F22" i="9"/>
  <c r="E19" i="9"/>
  <c r="F19" i="9" s="1"/>
  <c r="E16" i="9"/>
  <c r="E18" i="9" s="1"/>
  <c r="E15" i="9"/>
  <c r="E17" i="9" s="1"/>
  <c r="F8" i="9"/>
  <c r="F9" i="9"/>
  <c r="E11" i="9"/>
  <c r="F11" i="9" s="1"/>
  <c r="P6" i="13"/>
  <c r="P7" i="13" s="1"/>
  <c r="P8" i="13" s="1"/>
  <c r="O5" i="13"/>
  <c r="E4" i="9"/>
  <c r="F4" i="9" s="1"/>
  <c r="E10" i="9"/>
  <c r="E5" i="9"/>
  <c r="F5" i="9" s="1"/>
  <c r="E6" i="9"/>
  <c r="F6" i="9" s="1"/>
  <c r="E7" i="9"/>
  <c r="F7" i="9" s="1"/>
  <c r="M16" i="13"/>
  <c r="M17" i="13" s="1"/>
  <c r="H2" i="13"/>
  <c r="H3" i="13"/>
  <c r="H4" i="13"/>
  <c r="H5" i="13"/>
  <c r="H6" i="13"/>
  <c r="H7" i="13"/>
  <c r="H8" i="13"/>
  <c r="H9" i="13"/>
  <c r="H10" i="13"/>
  <c r="H11" i="13"/>
  <c r="H12" i="13"/>
  <c r="F2" i="13"/>
  <c r="F3" i="13"/>
  <c r="F5" i="13"/>
  <c r="F6" i="13"/>
  <c r="F7" i="13"/>
  <c r="F9" i="13"/>
  <c r="F10" i="13"/>
  <c r="F12" i="13"/>
  <c r="G3" i="13"/>
  <c r="G4" i="13"/>
  <c r="G7" i="13"/>
  <c r="G9" i="13"/>
  <c r="G10" i="13"/>
  <c r="G12" i="13"/>
  <c r="B24" i="14"/>
  <c r="B23" i="14"/>
  <c r="B22" i="14"/>
  <c r="B20" i="14"/>
  <c r="B21" i="14" s="1"/>
  <c r="B9" i="14"/>
  <c r="B8" i="14"/>
  <c r="B7" i="14"/>
  <c r="B5" i="14"/>
  <c r="B6" i="14" s="1"/>
  <c r="D29" i="9" l="1"/>
  <c r="E11" i="6"/>
  <c r="E17" i="6"/>
  <c r="E13" i="6"/>
  <c r="E16" i="6"/>
  <c r="E12" i="6"/>
  <c r="B10" i="14"/>
  <c r="I8" i="13" s="1"/>
  <c r="D33" i="9"/>
  <c r="E35" i="6"/>
  <c r="E31" i="6"/>
  <c r="G5" i="13"/>
  <c r="N5" i="13"/>
  <c r="G8" i="13"/>
  <c r="N8" i="13"/>
  <c r="I4" i="13"/>
  <c r="N4" i="13"/>
  <c r="F11" i="13"/>
  <c r="N11" i="13"/>
  <c r="I10" i="13"/>
  <c r="I5" i="13"/>
  <c r="I9" i="13"/>
  <c r="J9" i="13" s="1"/>
  <c r="I3" i="13"/>
  <c r="J3" i="13" s="1"/>
  <c r="F35" i="9"/>
  <c r="B25" i="14"/>
  <c r="B26" i="14" s="1"/>
  <c r="I7" i="13"/>
  <c r="J7" i="13" s="1"/>
  <c r="I6" i="13"/>
  <c r="G2" i="13"/>
  <c r="E15" i="13"/>
  <c r="N2" i="13"/>
  <c r="F8" i="13"/>
  <c r="F4" i="13"/>
  <c r="G11" i="13"/>
  <c r="E13" i="13"/>
  <c r="F13" i="13"/>
  <c r="G6" i="13"/>
  <c r="I2" i="13"/>
  <c r="E20" i="13"/>
  <c r="F20" i="13"/>
  <c r="H13" i="13"/>
  <c r="F21" i="9"/>
  <c r="D24" i="9" s="1"/>
  <c r="E59" i="6"/>
  <c r="G59" i="6" s="1"/>
  <c r="G19" i="6"/>
  <c r="G15" i="6"/>
  <c r="G11" i="6"/>
  <c r="E62" i="6"/>
  <c r="G55" i="6"/>
  <c r="E53" i="6"/>
  <c r="G53" i="6" s="1"/>
  <c r="E25" i="6"/>
  <c r="G25" i="6" s="1"/>
  <c r="E22" i="6"/>
  <c r="G22" i="6" s="1"/>
  <c r="G18" i="6"/>
  <c r="G14" i="6"/>
  <c r="E60" i="6"/>
  <c r="G60" i="6" s="1"/>
  <c r="E58" i="6"/>
  <c r="G58" i="6" s="1"/>
  <c r="E56" i="6"/>
  <c r="G56" i="6" s="1"/>
  <c r="E54" i="6"/>
  <c r="G54" i="6" s="1"/>
  <c r="E52" i="6"/>
  <c r="G52" i="6" s="1"/>
  <c r="E48" i="6"/>
  <c r="G48" i="6" s="1"/>
  <c r="G12" i="6"/>
  <c r="G43" i="6"/>
  <c r="G57" i="6"/>
  <c r="G51" i="6"/>
  <c r="G13" i="6"/>
  <c r="G9" i="6"/>
  <c r="F40" i="6"/>
  <c r="G40" i="6" s="1"/>
  <c r="F21" i="6"/>
  <c r="G21" i="6" s="1"/>
  <c r="G44" i="6"/>
  <c r="G17" i="6"/>
  <c r="F8" i="6"/>
  <c r="G8" i="6" s="1"/>
  <c r="G24" i="6"/>
  <c r="G16" i="6"/>
  <c r="E45" i="6"/>
  <c r="G45" i="6" s="1"/>
  <c r="E41" i="6"/>
  <c r="G41" i="6" s="1"/>
  <c r="E36" i="6"/>
  <c r="E32" i="6"/>
  <c r="E28" i="6"/>
  <c r="E23" i="6"/>
  <c r="G23" i="6" s="1"/>
  <c r="E10" i="6"/>
  <c r="G10" i="6" s="1"/>
  <c r="F50" i="6"/>
  <c r="E46" i="6"/>
  <c r="G46" i="6" s="1"/>
  <c r="E42" i="6"/>
  <c r="G42" i="6" s="1"/>
  <c r="E37" i="6"/>
  <c r="E33" i="6"/>
  <c r="E29" i="6"/>
  <c r="E47" i="6"/>
  <c r="G47" i="6" s="1"/>
  <c r="E38" i="6"/>
  <c r="E34" i="6"/>
  <c r="D39" i="9"/>
  <c r="D31" i="9"/>
  <c r="D30" i="9"/>
  <c r="F15" i="9"/>
  <c r="J10" i="13"/>
  <c r="B11" i="14"/>
  <c r="J2" i="13" l="1"/>
  <c r="D44" i="9"/>
  <c r="D42" i="9"/>
  <c r="D45" i="9"/>
  <c r="J8" i="13"/>
  <c r="D36" i="9"/>
  <c r="D43" i="9"/>
  <c r="J4" i="13"/>
  <c r="J5" i="13"/>
  <c r="I11" i="13"/>
  <c r="I12" i="13"/>
  <c r="J12" i="13" s="1"/>
  <c r="D38" i="9"/>
  <c r="G13" i="13"/>
  <c r="D37" i="9"/>
  <c r="D47" i="9"/>
  <c r="N13" i="13"/>
  <c r="D40" i="9"/>
  <c r="D41" i="9"/>
  <c r="D46" i="9"/>
  <c r="J6" i="13"/>
  <c r="D22" i="9"/>
  <c r="D25" i="9"/>
  <c r="D23" i="9"/>
  <c r="D26" i="9"/>
  <c r="G50" i="6"/>
  <c r="G62" i="6" s="1"/>
  <c r="I13" i="13" l="1"/>
  <c r="J11" i="13"/>
  <c r="J13" i="13"/>
  <c r="E26" i="9"/>
  <c r="K21" i="9"/>
  <c r="K22" i="9" s="1"/>
  <c r="F16" i="9"/>
  <c r="F18" i="9"/>
  <c r="F17" i="9"/>
  <c r="M9" i="9"/>
  <c r="F10" i="9"/>
  <c r="M4" i="9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K8" i="1"/>
  <c r="L8" i="1" s="1"/>
  <c r="K9" i="1"/>
  <c r="L9" i="1" s="1"/>
  <c r="K10" i="1"/>
  <c r="L10" i="1" s="1"/>
  <c r="K11" i="1"/>
  <c r="L11" i="1" s="1"/>
  <c r="K12" i="1"/>
  <c r="L12" i="1" s="1"/>
  <c r="K13" i="1"/>
  <c r="K14" i="1"/>
  <c r="L14" i="1" s="1"/>
  <c r="K15" i="1"/>
  <c r="L15" i="1" s="1"/>
  <c r="K16" i="1"/>
  <c r="L16" i="1" s="1"/>
  <c r="K17" i="1"/>
  <c r="L17" i="1"/>
  <c r="K18" i="1"/>
  <c r="K19" i="1"/>
  <c r="L19" i="1" s="1"/>
  <c r="K20" i="1"/>
  <c r="K21" i="1"/>
  <c r="L21" i="1" s="1"/>
  <c r="K22" i="1"/>
  <c r="K23" i="1"/>
  <c r="K24" i="1"/>
  <c r="L24" i="1" s="1"/>
  <c r="K25" i="1"/>
  <c r="L25" i="1" s="1"/>
  <c r="K26" i="1"/>
  <c r="L26" i="1" s="1"/>
  <c r="K27" i="1"/>
  <c r="L27" i="1"/>
  <c r="K28" i="1"/>
  <c r="L28" i="1" s="1"/>
  <c r="K29" i="1"/>
  <c r="K30" i="1"/>
  <c r="K31" i="1"/>
  <c r="L31" i="1" s="1"/>
  <c r="K32" i="1"/>
  <c r="K33" i="1"/>
  <c r="K34" i="1"/>
  <c r="K35" i="1"/>
  <c r="L35" i="1" s="1"/>
  <c r="K36" i="1"/>
  <c r="K37" i="1"/>
  <c r="L37" i="1" s="1"/>
  <c r="K38" i="1"/>
  <c r="K39" i="1"/>
  <c r="K40" i="1"/>
  <c r="K41" i="1"/>
  <c r="K42" i="1"/>
  <c r="L42" i="1" s="1"/>
  <c r="K43" i="1"/>
  <c r="L43" i="1" s="1"/>
  <c r="K44" i="1"/>
  <c r="L44" i="1" s="1"/>
  <c r="K45" i="1"/>
  <c r="K46" i="1"/>
  <c r="L46" i="1" s="1"/>
  <c r="K47" i="1"/>
  <c r="L47" i="1" s="1"/>
  <c r="K48" i="1"/>
  <c r="L48" i="1" s="1"/>
  <c r="K49" i="1"/>
  <c r="L49" i="1" s="1"/>
  <c r="K50" i="1"/>
  <c r="L50" i="1" s="1"/>
  <c r="K51" i="1"/>
  <c r="K52" i="1"/>
  <c r="L52" i="1" s="1"/>
  <c r="K53" i="1"/>
  <c r="K54" i="1"/>
  <c r="L54" i="1" s="1"/>
  <c r="K55" i="1"/>
  <c r="L55" i="1" s="1"/>
  <c r="K56" i="1"/>
  <c r="K57" i="1"/>
  <c r="L57" i="1" s="1"/>
  <c r="K58" i="1"/>
  <c r="L58" i="1" s="1"/>
  <c r="K59" i="1"/>
  <c r="L59" i="1" s="1"/>
  <c r="K60" i="1"/>
  <c r="L60" i="1" s="1"/>
  <c r="K61" i="1"/>
  <c r="L61" i="1" s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L74" i="1" s="1"/>
  <c r="K75" i="1"/>
  <c r="K76" i="1"/>
  <c r="L76" i="1" s="1"/>
  <c r="K77" i="1"/>
  <c r="K78" i="1"/>
  <c r="L78" i="1" s="1"/>
  <c r="K79" i="1"/>
  <c r="L79" i="1" s="1"/>
  <c r="K80" i="1"/>
  <c r="L80" i="1" s="1"/>
  <c r="K81" i="1"/>
  <c r="K82" i="1"/>
  <c r="L82" i="1" s="1"/>
  <c r="K83" i="1"/>
  <c r="L83" i="1" s="1"/>
  <c r="K84" i="1"/>
  <c r="L84" i="1" s="1"/>
  <c r="K85" i="1"/>
  <c r="L85" i="1"/>
  <c r="K86" i="1"/>
  <c r="L86" i="1" s="1"/>
  <c r="K87" i="1"/>
  <c r="K88" i="1"/>
  <c r="L88" i="1" s="1"/>
  <c r="K89" i="1"/>
  <c r="L89" i="1" s="1"/>
  <c r="K90" i="1"/>
  <c r="L90" i="1" s="1"/>
  <c r="K91" i="1"/>
  <c r="L91" i="1" s="1"/>
  <c r="K92" i="1"/>
  <c r="K93" i="1"/>
  <c r="L93" i="1" s="1"/>
  <c r="K94" i="1"/>
  <c r="K95" i="1"/>
  <c r="L95" i="1" s="1"/>
  <c r="K96" i="1"/>
  <c r="K97" i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K104" i="1"/>
  <c r="L104" i="1" s="1"/>
  <c r="K105" i="1"/>
  <c r="K106" i="1"/>
  <c r="K107" i="1"/>
  <c r="K108" i="1"/>
  <c r="L108" i="1" s="1"/>
  <c r="K109" i="1"/>
  <c r="K110" i="1"/>
  <c r="L110" i="1" s="1"/>
  <c r="K111" i="1"/>
  <c r="K112" i="1"/>
  <c r="K113" i="1"/>
  <c r="K114" i="1"/>
  <c r="K115" i="1"/>
  <c r="L115" i="1"/>
  <c r="K116" i="1"/>
  <c r="L116" i="1" s="1"/>
  <c r="K117" i="1"/>
  <c r="L117" i="1" s="1"/>
  <c r="K118" i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K125" i="1"/>
  <c r="L125" i="1"/>
  <c r="K126" i="1"/>
  <c r="K127" i="1"/>
  <c r="L127" i="1" s="1"/>
  <c r="K128" i="1"/>
  <c r="L128" i="1" s="1"/>
  <c r="K129" i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L147" i="1" s="1"/>
  <c r="K148" i="1"/>
  <c r="K149" i="1"/>
  <c r="L149" i="1"/>
  <c r="K150" i="1"/>
  <c r="K151" i="1"/>
  <c r="L151" i="1" s="1"/>
  <c r="K152" i="1"/>
  <c r="L152" i="1" s="1"/>
  <c r="K153" i="1"/>
  <c r="L153" i="1" s="1"/>
  <c r="K154" i="1"/>
  <c r="K155" i="1"/>
  <c r="K156" i="1"/>
  <c r="K157" i="1"/>
  <c r="K158" i="1"/>
  <c r="L158" i="1" s="1"/>
  <c r="K159" i="1"/>
  <c r="K160" i="1"/>
  <c r="L160" i="1" s="1"/>
  <c r="K161" i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K173" i="1"/>
  <c r="L173" i="1" s="1"/>
  <c r="K174" i="1"/>
  <c r="K175" i="1"/>
  <c r="L175" i="1" s="1"/>
  <c r="K176" i="1"/>
  <c r="K177" i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K184" i="1"/>
  <c r="K185" i="1"/>
  <c r="L185" i="1" s="1"/>
  <c r="K186" i="1"/>
  <c r="K187" i="1"/>
  <c r="K188" i="1"/>
  <c r="K189" i="1"/>
  <c r="L189" i="1" s="1"/>
  <c r="K190" i="1"/>
  <c r="K191" i="1"/>
  <c r="L191" i="1" s="1"/>
  <c r="K192" i="1"/>
  <c r="K193" i="1"/>
  <c r="K194" i="1"/>
  <c r="K195" i="1"/>
  <c r="K196" i="1"/>
  <c r="L196" i="1" s="1"/>
  <c r="K197" i="1"/>
  <c r="L197" i="1" s="1"/>
  <c r="K198" i="1"/>
  <c r="L198" i="1" s="1"/>
  <c r="K199" i="1"/>
  <c r="K200" i="1"/>
  <c r="L200" i="1" s="1"/>
  <c r="K201" i="1"/>
  <c r="L201" i="1"/>
  <c r="K202" i="1"/>
  <c r="L202" i="1" s="1"/>
  <c r="K203" i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K210" i="1"/>
  <c r="L210" i="1" s="1"/>
  <c r="K211" i="1"/>
  <c r="K212" i="1"/>
  <c r="L212" i="1" s="1"/>
  <c r="K213" i="1"/>
  <c r="L213" i="1" s="1"/>
  <c r="K214" i="1"/>
  <c r="K215" i="1"/>
  <c r="L215" i="1" s="1"/>
  <c r="K216" i="1"/>
  <c r="L216" i="1" s="1"/>
  <c r="K217" i="1"/>
  <c r="L217" i="1" s="1"/>
  <c r="K218" i="1"/>
  <c r="L218" i="1" s="1"/>
  <c r="K219" i="1"/>
  <c r="L219" i="1"/>
  <c r="K220" i="1"/>
  <c r="K221" i="1"/>
  <c r="K222" i="1"/>
  <c r="K223" i="1"/>
  <c r="K224" i="1"/>
  <c r="K225" i="1"/>
  <c r="K226" i="1"/>
  <c r="K227" i="1"/>
  <c r="K228" i="1"/>
  <c r="K229" i="1"/>
  <c r="L229" i="1" s="1"/>
  <c r="K230" i="1"/>
  <c r="L230" i="1" s="1"/>
  <c r="K231" i="1"/>
  <c r="L231" i="1" s="1"/>
  <c r="K232" i="1"/>
  <c r="K233" i="1"/>
  <c r="L233" i="1"/>
  <c r="K234" i="1"/>
  <c r="L234" i="1" s="1"/>
  <c r="K235" i="1"/>
  <c r="K236" i="1"/>
  <c r="K237" i="1"/>
  <c r="K238" i="1"/>
  <c r="K239" i="1"/>
  <c r="L239" i="1" s="1"/>
  <c r="K240" i="1"/>
  <c r="F12" i="9"/>
  <c r="C264" i="3"/>
  <c r="C265" i="3"/>
  <c r="C266" i="3"/>
  <c r="C267" i="3"/>
  <c r="C268" i="3"/>
  <c r="C269" i="3"/>
  <c r="C270" i="3"/>
  <c r="C271" i="3"/>
  <c r="C272" i="3"/>
  <c r="C273" i="3"/>
  <c r="C274" i="3"/>
  <c r="C275" i="3"/>
  <c r="L45" i="1" s="1"/>
  <c r="C276" i="3"/>
  <c r="C277" i="3"/>
  <c r="C278" i="3"/>
  <c r="L209" i="1" s="1"/>
  <c r="C279" i="3"/>
  <c r="C280" i="3"/>
  <c r="L137" i="1" s="1"/>
  <c r="C281" i="3"/>
  <c r="C282" i="3"/>
  <c r="C283" i="3"/>
  <c r="C284" i="3"/>
  <c r="L77" i="1" s="1"/>
  <c r="C287" i="3"/>
  <c r="C288" i="3"/>
  <c r="C290" i="3"/>
  <c r="C291" i="3"/>
  <c r="C294" i="3"/>
  <c r="M8" i="9"/>
  <c r="M7" i="9" s="1"/>
  <c r="M5" i="9"/>
  <c r="M3" i="9"/>
  <c r="AA23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T23" i="3" s="1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L29" i="1" s="1"/>
  <c r="C115" i="3"/>
  <c r="C116" i="3"/>
  <c r="C117" i="3"/>
  <c r="C118" i="3"/>
  <c r="C119" i="3"/>
  <c r="C120" i="3"/>
  <c r="C121" i="3"/>
  <c r="L33" i="1" s="1"/>
  <c r="C122" i="3"/>
  <c r="C123" i="3"/>
  <c r="C124" i="3"/>
  <c r="C125" i="3"/>
  <c r="C126" i="3"/>
  <c r="C127" i="3"/>
  <c r="C128" i="3"/>
  <c r="C129" i="3"/>
  <c r="L109" i="1" s="1"/>
  <c r="C130" i="3"/>
  <c r="C131" i="3"/>
  <c r="C132" i="3"/>
  <c r="C133" i="3"/>
  <c r="C134" i="3"/>
  <c r="C135" i="3"/>
  <c r="C136" i="3"/>
  <c r="C137" i="3"/>
  <c r="L193" i="1" s="1"/>
  <c r="C138" i="3"/>
  <c r="C139" i="3"/>
  <c r="C140" i="3"/>
  <c r="C141" i="3"/>
  <c r="L41" i="1" s="1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L65" i="1" s="1"/>
  <c r="C185" i="3"/>
  <c r="C186" i="3"/>
  <c r="C187" i="3"/>
  <c r="L67" i="1" s="1"/>
  <c r="C188" i="3"/>
  <c r="C189" i="3"/>
  <c r="L69" i="1" s="1"/>
  <c r="C190" i="3"/>
  <c r="C191" i="3"/>
  <c r="C192" i="3"/>
  <c r="C193" i="3"/>
  <c r="C194" i="3"/>
  <c r="C195" i="3"/>
  <c r="C196" i="3"/>
  <c r="L73" i="1" s="1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L235" i="1" s="1"/>
  <c r="C249" i="3"/>
  <c r="C250" i="3"/>
  <c r="L237" i="1" s="1"/>
  <c r="C251" i="3"/>
  <c r="C252" i="3"/>
  <c r="C253" i="3"/>
  <c r="C254" i="3"/>
  <c r="C255" i="3"/>
  <c r="C256" i="3"/>
  <c r="C257" i="3"/>
  <c r="C258" i="3"/>
  <c r="C259" i="3"/>
  <c r="C260" i="3"/>
  <c r="C2" i="3"/>
  <c r="L203" i="1" l="1"/>
  <c r="L225" i="1"/>
  <c r="L53" i="1"/>
  <c r="L211" i="1"/>
  <c r="L232" i="1"/>
  <c r="L228" i="1"/>
  <c r="L227" i="1"/>
  <c r="L226" i="1"/>
  <c r="L222" i="1"/>
  <c r="L221" i="1"/>
  <c r="L214" i="1"/>
  <c r="L199" i="1"/>
  <c r="L192" i="1"/>
  <c r="L184" i="1"/>
  <c r="L129" i="1"/>
  <c r="L118" i="1"/>
  <c r="L22" i="1"/>
  <c r="L161" i="1"/>
  <c r="L63" i="1"/>
  <c r="L157" i="1"/>
  <c r="L223" i="1"/>
  <c r="L105" i="1"/>
  <c r="L177" i="1"/>
  <c r="L236" i="1"/>
  <c r="L194" i="1"/>
  <c r="L183" i="1"/>
  <c r="L176" i="1"/>
  <c r="L124" i="1"/>
  <c r="L111" i="1"/>
  <c r="L97" i="1"/>
  <c r="L62" i="1"/>
  <c r="L38" i="1"/>
  <c r="L238" i="1"/>
  <c r="L224" i="1"/>
  <c r="L155" i="1"/>
  <c r="L140" i="1"/>
  <c r="L136" i="1"/>
  <c r="L126" i="1"/>
  <c r="L72" i="1"/>
  <c r="L13" i="1"/>
  <c r="L240" i="1"/>
  <c r="L220" i="1"/>
  <c r="L188" i="1"/>
  <c r="L143" i="1"/>
  <c r="L139" i="1"/>
  <c r="L113" i="1"/>
  <c r="L92" i="1"/>
  <c r="L75" i="1"/>
  <c r="L51" i="1"/>
  <c r="L40" i="1"/>
  <c r="L30" i="1"/>
  <c r="L187" i="1"/>
  <c r="L112" i="1"/>
  <c r="L68" i="1"/>
  <c r="L186" i="1"/>
  <c r="L172" i="1"/>
  <c r="L145" i="1"/>
  <c r="L141" i="1"/>
  <c r="L135" i="1"/>
  <c r="L81" i="1"/>
  <c r="L71" i="1"/>
  <c r="L56" i="1"/>
  <c r="L18" i="1"/>
  <c r="L159" i="1"/>
  <c r="L156" i="1"/>
  <c r="L150" i="1"/>
  <c r="L144" i="1"/>
  <c r="L107" i="1"/>
  <c r="L70" i="1"/>
  <c r="L39" i="1"/>
  <c r="L36" i="1"/>
  <c r="L195" i="1"/>
  <c r="L103" i="1"/>
  <c r="L94" i="1"/>
  <c r="L190" i="1"/>
  <c r="L174" i="1"/>
  <c r="L148" i="1"/>
  <c r="L142" i="1"/>
  <c r="L96" i="1"/>
  <c r="L87" i="1"/>
  <c r="L64" i="1"/>
  <c r="L32" i="1"/>
  <c r="L23" i="1"/>
  <c r="L154" i="1"/>
  <c r="L146" i="1"/>
  <c r="L138" i="1"/>
  <c r="L114" i="1"/>
  <c r="L106" i="1"/>
  <c r="L66" i="1"/>
  <c r="L34" i="1"/>
  <c r="L20" i="1"/>
  <c r="F14" i="9"/>
  <c r="F3" i="9"/>
  <c r="D12" i="9" l="1"/>
  <c r="F50" i="9"/>
  <c r="D3" i="9" s="1"/>
  <c r="D17" i="9"/>
  <c r="D19" i="9"/>
  <c r="D15" i="9"/>
  <c r="D16" i="9"/>
  <c r="D18" i="9"/>
  <c r="D5" i="9"/>
  <c r="D6" i="9"/>
  <c r="D4" i="9"/>
  <c r="D11" i="9"/>
  <c r="D7" i="9"/>
  <c r="D8" i="9"/>
  <c r="D9" i="9"/>
  <c r="D10" i="9"/>
  <c r="H21" i="6"/>
  <c r="H22" i="6" s="1"/>
  <c r="D14" i="9" l="1"/>
  <c r="D21" i="9"/>
  <c r="D35" i="9"/>
  <c r="D28" i="9"/>
  <c r="H24" i="6"/>
  <c r="H25" i="6"/>
  <c r="H23" i="6"/>
  <c r="H8" i="6"/>
  <c r="AM60" i="6"/>
  <c r="AM59" i="6"/>
  <c r="AM58" i="6"/>
  <c r="AM57" i="6"/>
  <c r="AM56" i="6"/>
  <c r="AM55" i="6"/>
  <c r="AM54" i="6"/>
  <c r="AM53" i="6"/>
  <c r="AM52" i="6"/>
  <c r="AM51" i="6"/>
  <c r="AM48" i="6"/>
  <c r="AM47" i="6"/>
  <c r="AM46" i="6"/>
  <c r="AM45" i="6"/>
  <c r="AM44" i="6"/>
  <c r="AM43" i="6"/>
  <c r="AM42" i="6"/>
  <c r="AM41" i="6"/>
  <c r="AM38" i="6"/>
  <c r="AM37" i="6"/>
  <c r="AM36" i="6"/>
  <c r="AM35" i="6"/>
  <c r="AM34" i="6"/>
  <c r="AM33" i="6"/>
  <c r="AM32" i="6"/>
  <c r="AM31" i="6"/>
  <c r="AM30" i="6"/>
  <c r="AM29" i="6"/>
  <c r="AM28" i="6"/>
  <c r="AM25" i="6"/>
  <c r="AM24" i="6"/>
  <c r="AM23" i="6"/>
  <c r="AM22" i="6"/>
  <c r="AM19" i="6"/>
  <c r="AM18" i="6"/>
  <c r="AM17" i="6"/>
  <c r="AM16" i="6"/>
  <c r="AM15" i="6"/>
  <c r="AM14" i="6"/>
  <c r="AM13" i="6"/>
  <c r="AM12" i="6"/>
  <c r="AM11" i="6"/>
  <c r="AM10" i="6"/>
  <c r="AM9" i="6"/>
  <c r="AJ60" i="6"/>
  <c r="AJ59" i="6"/>
  <c r="AJ58" i="6"/>
  <c r="AJ57" i="6"/>
  <c r="AJ56" i="6"/>
  <c r="AJ55" i="6"/>
  <c r="AJ54" i="6"/>
  <c r="AJ53" i="6"/>
  <c r="AJ52" i="6"/>
  <c r="AJ51" i="6"/>
  <c r="AJ48" i="6"/>
  <c r="AJ47" i="6"/>
  <c r="AJ46" i="6"/>
  <c r="AJ45" i="6"/>
  <c r="AJ44" i="6"/>
  <c r="AJ43" i="6"/>
  <c r="AJ42" i="6"/>
  <c r="AJ41" i="6"/>
  <c r="AJ38" i="6"/>
  <c r="AJ37" i="6"/>
  <c r="AJ36" i="6"/>
  <c r="AJ35" i="6"/>
  <c r="AJ34" i="6"/>
  <c r="AJ33" i="6"/>
  <c r="AJ32" i="6"/>
  <c r="AJ31" i="6"/>
  <c r="AJ30" i="6"/>
  <c r="AJ29" i="6"/>
  <c r="AJ28" i="6"/>
  <c r="AJ25" i="6"/>
  <c r="AJ24" i="6"/>
  <c r="AJ23" i="6"/>
  <c r="AJ22" i="6"/>
  <c r="AJ19" i="6"/>
  <c r="AJ18" i="6"/>
  <c r="AJ17" i="6"/>
  <c r="AJ16" i="6"/>
  <c r="AJ15" i="6"/>
  <c r="AJ14" i="6"/>
  <c r="AJ13" i="6"/>
  <c r="AJ12" i="6"/>
  <c r="AJ11" i="6"/>
  <c r="AJ10" i="6"/>
  <c r="AJ9" i="6"/>
  <c r="AG60" i="6"/>
  <c r="AG59" i="6"/>
  <c r="AG58" i="6"/>
  <c r="AG57" i="6"/>
  <c r="AG56" i="6"/>
  <c r="AG55" i="6"/>
  <c r="AG54" i="6"/>
  <c r="AG53" i="6"/>
  <c r="AG52" i="6"/>
  <c r="AG51" i="6"/>
  <c r="AG48" i="6"/>
  <c r="AG47" i="6"/>
  <c r="AG46" i="6"/>
  <c r="AG45" i="6"/>
  <c r="AG44" i="6"/>
  <c r="AG43" i="6"/>
  <c r="AG42" i="6"/>
  <c r="AG41" i="6"/>
  <c r="AG38" i="6"/>
  <c r="AG37" i="6"/>
  <c r="AG36" i="6"/>
  <c r="AG35" i="6"/>
  <c r="AG34" i="6"/>
  <c r="AG33" i="6"/>
  <c r="AG32" i="6"/>
  <c r="AG31" i="6"/>
  <c r="AG30" i="6"/>
  <c r="AG29" i="6"/>
  <c r="AG28" i="6"/>
  <c r="AG25" i="6"/>
  <c r="AG24" i="6"/>
  <c r="AG23" i="6"/>
  <c r="AG22" i="6"/>
  <c r="AG19" i="6"/>
  <c r="AG18" i="6"/>
  <c r="AG17" i="6"/>
  <c r="AG16" i="6"/>
  <c r="AG15" i="6"/>
  <c r="AG14" i="6"/>
  <c r="AG13" i="6"/>
  <c r="AG12" i="6"/>
  <c r="AG11" i="6"/>
  <c r="AG10" i="6"/>
  <c r="AG9" i="6"/>
  <c r="AD60" i="6"/>
  <c r="AD59" i="6"/>
  <c r="AD58" i="6"/>
  <c r="AD57" i="6"/>
  <c r="AD56" i="6"/>
  <c r="AD55" i="6"/>
  <c r="AD54" i="6"/>
  <c r="AD53" i="6"/>
  <c r="AD52" i="6"/>
  <c r="AD51" i="6"/>
  <c r="AD48" i="6"/>
  <c r="AD47" i="6"/>
  <c r="AD46" i="6"/>
  <c r="AD45" i="6"/>
  <c r="AD44" i="6"/>
  <c r="AD43" i="6"/>
  <c r="AD42" i="6"/>
  <c r="AD41" i="6"/>
  <c r="AD38" i="6"/>
  <c r="AD37" i="6"/>
  <c r="AD36" i="6"/>
  <c r="AD35" i="6"/>
  <c r="AD34" i="6"/>
  <c r="AD33" i="6"/>
  <c r="AD32" i="6"/>
  <c r="AD31" i="6"/>
  <c r="AD30" i="6"/>
  <c r="AD29" i="6"/>
  <c r="AD28" i="6"/>
  <c r="AD25" i="6"/>
  <c r="AD24" i="6"/>
  <c r="AD23" i="6"/>
  <c r="AD22" i="6"/>
  <c r="AD19" i="6"/>
  <c r="AD18" i="6"/>
  <c r="AD17" i="6"/>
  <c r="AD16" i="6"/>
  <c r="AD15" i="6"/>
  <c r="AD14" i="6"/>
  <c r="AD13" i="6"/>
  <c r="AD12" i="6"/>
  <c r="AD11" i="6"/>
  <c r="AD10" i="6"/>
  <c r="AD9" i="6"/>
  <c r="AA60" i="6"/>
  <c r="AA59" i="6"/>
  <c r="AA58" i="6"/>
  <c r="AA57" i="6"/>
  <c r="AA56" i="6"/>
  <c r="AA55" i="6"/>
  <c r="AA54" i="6"/>
  <c r="AA53" i="6"/>
  <c r="AA52" i="6"/>
  <c r="AA51" i="6"/>
  <c r="AA48" i="6"/>
  <c r="AA47" i="6"/>
  <c r="AA46" i="6"/>
  <c r="AA45" i="6"/>
  <c r="AA44" i="6"/>
  <c r="AA43" i="6"/>
  <c r="AA42" i="6"/>
  <c r="AA41" i="6"/>
  <c r="AA38" i="6"/>
  <c r="AA37" i="6"/>
  <c r="AA36" i="6"/>
  <c r="AA35" i="6"/>
  <c r="AA34" i="6"/>
  <c r="AA33" i="6"/>
  <c r="AA32" i="6"/>
  <c r="AA31" i="6"/>
  <c r="AA30" i="6"/>
  <c r="AA29" i="6"/>
  <c r="AA28" i="6"/>
  <c r="AA25" i="6"/>
  <c r="AA24" i="6"/>
  <c r="AA23" i="6"/>
  <c r="AA22" i="6"/>
  <c r="AA19" i="6"/>
  <c r="AA18" i="6"/>
  <c r="AA17" i="6"/>
  <c r="AA16" i="6"/>
  <c r="AA15" i="6"/>
  <c r="AA14" i="6"/>
  <c r="AA13" i="6"/>
  <c r="AA12" i="6"/>
  <c r="AA11" i="6"/>
  <c r="AA10" i="6"/>
  <c r="AA9" i="6"/>
  <c r="X60" i="6"/>
  <c r="X59" i="6"/>
  <c r="X58" i="6"/>
  <c r="X57" i="6"/>
  <c r="X56" i="6"/>
  <c r="X55" i="6"/>
  <c r="X54" i="6"/>
  <c r="X53" i="6"/>
  <c r="X52" i="6"/>
  <c r="X51" i="6"/>
  <c r="X48" i="6"/>
  <c r="X47" i="6"/>
  <c r="X46" i="6"/>
  <c r="X45" i="6"/>
  <c r="X44" i="6"/>
  <c r="X43" i="6"/>
  <c r="X42" i="6"/>
  <c r="X41" i="6"/>
  <c r="X25" i="6"/>
  <c r="X24" i="6"/>
  <c r="X23" i="6"/>
  <c r="X22" i="6"/>
  <c r="X19" i="6"/>
  <c r="X18" i="6"/>
  <c r="X17" i="6"/>
  <c r="X16" i="6"/>
  <c r="X15" i="6"/>
  <c r="X14" i="6"/>
  <c r="X13" i="6"/>
  <c r="X12" i="6"/>
  <c r="X11" i="6"/>
  <c r="X10" i="6"/>
  <c r="X9" i="6"/>
  <c r="U60" i="6"/>
  <c r="U59" i="6"/>
  <c r="U58" i="6"/>
  <c r="U57" i="6"/>
  <c r="U56" i="6"/>
  <c r="U55" i="6"/>
  <c r="U54" i="6"/>
  <c r="U53" i="6"/>
  <c r="U52" i="6"/>
  <c r="U51" i="6"/>
  <c r="U48" i="6"/>
  <c r="U47" i="6"/>
  <c r="U46" i="6"/>
  <c r="U45" i="6"/>
  <c r="U44" i="6"/>
  <c r="U43" i="6"/>
  <c r="U42" i="6"/>
  <c r="U41" i="6"/>
  <c r="U25" i="6"/>
  <c r="U24" i="6"/>
  <c r="U23" i="6"/>
  <c r="U22" i="6"/>
  <c r="U19" i="6"/>
  <c r="U18" i="6"/>
  <c r="U17" i="6"/>
  <c r="U16" i="6"/>
  <c r="U15" i="6"/>
  <c r="U14" i="6"/>
  <c r="U13" i="6"/>
  <c r="U12" i="6"/>
  <c r="U11" i="6"/>
  <c r="U10" i="6"/>
  <c r="U9" i="6"/>
  <c r="R60" i="6"/>
  <c r="R59" i="6"/>
  <c r="R58" i="6"/>
  <c r="R57" i="6"/>
  <c r="R56" i="6"/>
  <c r="R55" i="6"/>
  <c r="R54" i="6"/>
  <c r="R53" i="6"/>
  <c r="R52" i="6"/>
  <c r="R51" i="6"/>
  <c r="R48" i="6"/>
  <c r="R47" i="6"/>
  <c r="R46" i="6"/>
  <c r="R45" i="6"/>
  <c r="R44" i="6"/>
  <c r="R43" i="6"/>
  <c r="R42" i="6"/>
  <c r="R41" i="6"/>
  <c r="R25" i="6"/>
  <c r="R24" i="6"/>
  <c r="R23" i="6"/>
  <c r="R22" i="6"/>
  <c r="R19" i="6"/>
  <c r="R18" i="6"/>
  <c r="R17" i="6"/>
  <c r="R16" i="6"/>
  <c r="R15" i="6"/>
  <c r="R14" i="6"/>
  <c r="R13" i="6"/>
  <c r="R12" i="6"/>
  <c r="R11" i="6"/>
  <c r="R10" i="6"/>
  <c r="R9" i="6"/>
  <c r="O60" i="6"/>
  <c r="O59" i="6"/>
  <c r="O58" i="6"/>
  <c r="O57" i="6"/>
  <c r="O56" i="6"/>
  <c r="O55" i="6"/>
  <c r="O54" i="6"/>
  <c r="O53" i="6"/>
  <c r="O52" i="6"/>
  <c r="O51" i="6"/>
  <c r="O48" i="6"/>
  <c r="O47" i="6"/>
  <c r="O46" i="6"/>
  <c r="O45" i="6"/>
  <c r="O44" i="6"/>
  <c r="O43" i="6"/>
  <c r="O42" i="6"/>
  <c r="O41" i="6"/>
  <c r="O25" i="6"/>
  <c r="O24" i="6"/>
  <c r="O23" i="6"/>
  <c r="O22" i="6"/>
  <c r="O19" i="6"/>
  <c r="O18" i="6"/>
  <c r="O17" i="6"/>
  <c r="O16" i="6"/>
  <c r="O15" i="6"/>
  <c r="O14" i="6"/>
  <c r="O13" i="6"/>
  <c r="O12" i="6"/>
  <c r="O11" i="6"/>
  <c r="O10" i="6"/>
  <c r="O9" i="6"/>
  <c r="L60" i="6"/>
  <c r="L59" i="6"/>
  <c r="L58" i="6"/>
  <c r="L57" i="6"/>
  <c r="L56" i="6"/>
  <c r="L55" i="6"/>
  <c r="L54" i="6"/>
  <c r="L53" i="6"/>
  <c r="L52" i="6"/>
  <c r="L51" i="6"/>
  <c r="L48" i="6"/>
  <c r="L47" i="6"/>
  <c r="L46" i="6"/>
  <c r="L45" i="6"/>
  <c r="L44" i="6"/>
  <c r="L43" i="6"/>
  <c r="L42" i="6"/>
  <c r="L41" i="6"/>
  <c r="L25" i="6"/>
  <c r="L24" i="6"/>
  <c r="L23" i="6"/>
  <c r="L22" i="6"/>
  <c r="L19" i="6"/>
  <c r="L18" i="6"/>
  <c r="L17" i="6"/>
  <c r="L16" i="6"/>
  <c r="L15" i="6"/>
  <c r="L14" i="6"/>
  <c r="L13" i="6"/>
  <c r="L12" i="6"/>
  <c r="L11" i="6"/>
  <c r="L10" i="6"/>
  <c r="L9" i="6"/>
  <c r="I60" i="6"/>
  <c r="I59" i="6"/>
  <c r="I58" i="6"/>
  <c r="I57" i="6"/>
  <c r="I56" i="6"/>
  <c r="I55" i="6"/>
  <c r="I54" i="6"/>
  <c r="I53" i="6"/>
  <c r="I52" i="6"/>
  <c r="I51" i="6"/>
  <c r="I48" i="6"/>
  <c r="I47" i="6"/>
  <c r="I46" i="6"/>
  <c r="I45" i="6"/>
  <c r="I44" i="6"/>
  <c r="I43" i="6"/>
  <c r="I42" i="6"/>
  <c r="I41" i="6"/>
  <c r="I25" i="6"/>
  <c r="I24" i="6"/>
  <c r="I23" i="6"/>
  <c r="I22" i="6"/>
  <c r="I10" i="6"/>
  <c r="I11" i="6"/>
  <c r="I12" i="6"/>
  <c r="I13" i="6"/>
  <c r="I14" i="6"/>
  <c r="I15" i="6"/>
  <c r="I16" i="6"/>
  <c r="I17" i="6"/>
  <c r="I18" i="6"/>
  <c r="I19" i="6"/>
  <c r="I9" i="6"/>
  <c r="AL50" i="6"/>
  <c r="AI50" i="6"/>
  <c r="AF50" i="6"/>
  <c r="AC50" i="6"/>
  <c r="Z50" i="6"/>
  <c r="W50" i="6"/>
  <c r="T50" i="6"/>
  <c r="Q50" i="6"/>
  <c r="N50" i="6"/>
  <c r="K50" i="6"/>
  <c r="H50" i="6"/>
  <c r="AL40" i="6"/>
  <c r="AI40" i="6"/>
  <c r="AF40" i="6"/>
  <c r="AC40" i="6"/>
  <c r="Z40" i="6"/>
  <c r="W40" i="6"/>
  <c r="T40" i="6"/>
  <c r="Q40" i="6"/>
  <c r="N40" i="6"/>
  <c r="K40" i="6"/>
  <c r="H40" i="6"/>
  <c r="AL27" i="6"/>
  <c r="AI27" i="6"/>
  <c r="AF27" i="6"/>
  <c r="AC27" i="6"/>
  <c r="Z27" i="6"/>
  <c r="W27" i="6"/>
  <c r="T27" i="6"/>
  <c r="Q27" i="6"/>
  <c r="N27" i="6"/>
  <c r="K27" i="6"/>
  <c r="H27" i="6"/>
  <c r="AL21" i="6"/>
  <c r="AI21" i="6"/>
  <c r="AF21" i="6"/>
  <c r="AC21" i="6"/>
  <c r="Z21" i="6"/>
  <c r="W21" i="6"/>
  <c r="T21" i="6"/>
  <c r="Q21" i="6"/>
  <c r="N21" i="6"/>
  <c r="K21" i="6"/>
  <c r="AL8" i="6"/>
  <c r="AI8" i="6"/>
  <c r="AF8" i="6"/>
  <c r="AC8" i="6"/>
  <c r="Z8" i="6"/>
  <c r="W8" i="6"/>
  <c r="T8" i="6"/>
  <c r="Q8" i="6"/>
  <c r="N8" i="6"/>
  <c r="K8" i="6"/>
  <c r="N62" i="6" l="1"/>
  <c r="Z62" i="6"/>
  <c r="AL62" i="6"/>
  <c r="K62" i="6"/>
  <c r="W62" i="6"/>
  <c r="AI62" i="6"/>
  <c r="Q62" i="6"/>
  <c r="AC62" i="6"/>
  <c r="H62" i="6"/>
  <c r="T62" i="6"/>
  <c r="AF62" i="6"/>
  <c r="J24" i="6"/>
  <c r="T18" i="6"/>
  <c r="AF18" i="6"/>
  <c r="K23" i="6"/>
  <c r="W24" i="6"/>
  <c r="AI24" i="6"/>
  <c r="K37" i="6"/>
  <c r="W37" i="6"/>
  <c r="AI37" i="6"/>
  <c r="K48" i="6"/>
  <c r="W48" i="6"/>
  <c r="AI48" i="6"/>
  <c r="K56" i="6"/>
  <c r="W52" i="6"/>
  <c r="AI58" i="6"/>
  <c r="K17" i="6"/>
  <c r="W17" i="6"/>
  <c r="AI17" i="6"/>
  <c r="N25" i="6"/>
  <c r="Z25" i="6"/>
  <c r="AL25" i="6"/>
  <c r="N35" i="6"/>
  <c r="Z30" i="6"/>
  <c r="AL35" i="6"/>
  <c r="N48" i="6"/>
  <c r="Z42" i="6"/>
  <c r="AL46" i="6"/>
  <c r="N60" i="6"/>
  <c r="Z60" i="6"/>
  <c r="AL60" i="6"/>
  <c r="N16" i="6"/>
  <c r="AL16" i="6"/>
  <c r="AO8" i="6"/>
  <c r="Q24" i="6"/>
  <c r="AC24" i="6"/>
  <c r="Q34" i="6"/>
  <c r="AC30" i="6"/>
  <c r="AC46" i="6"/>
  <c r="Q54" i="6"/>
  <c r="AC60" i="6"/>
  <c r="Z16" i="6"/>
  <c r="Q46" i="6"/>
  <c r="Q13" i="6"/>
  <c r="AC18" i="6"/>
  <c r="T23" i="6"/>
  <c r="AF23" i="6"/>
  <c r="T38" i="6"/>
  <c r="AF38" i="6"/>
  <c r="H44" i="6"/>
  <c r="T48" i="6"/>
  <c r="AF48" i="6"/>
  <c r="H58" i="6"/>
  <c r="T58" i="6"/>
  <c r="AF58" i="6"/>
  <c r="O8" i="6"/>
  <c r="H10" i="6"/>
  <c r="H11" i="6"/>
  <c r="H12" i="6"/>
  <c r="H16" i="6"/>
  <c r="H9" i="6"/>
  <c r="H17" i="6"/>
  <c r="H14" i="6"/>
  <c r="H18" i="6"/>
  <c r="H15" i="6"/>
  <c r="H19" i="6"/>
  <c r="H13" i="6"/>
  <c r="O40" i="6"/>
  <c r="H30" i="6"/>
  <c r="H34" i="6"/>
  <c r="H38" i="6"/>
  <c r="H28" i="6"/>
  <c r="H31" i="6"/>
  <c r="H35" i="6"/>
  <c r="H29" i="6"/>
  <c r="H32" i="6"/>
  <c r="H36" i="6"/>
  <c r="H33" i="6"/>
  <c r="H37" i="6"/>
  <c r="AA40" i="6"/>
  <c r="I21" i="6"/>
  <c r="X40" i="6"/>
  <c r="AP59" i="6"/>
  <c r="AG40" i="6"/>
  <c r="AP11" i="6"/>
  <c r="AP15" i="6"/>
  <c r="AP19" i="6"/>
  <c r="AP48" i="6"/>
  <c r="AP54" i="6"/>
  <c r="X8" i="6"/>
  <c r="AP23" i="6"/>
  <c r="AP10" i="6"/>
  <c r="AP14" i="6"/>
  <c r="AP18" i="6"/>
  <c r="AP12" i="6"/>
  <c r="AP16" i="6"/>
  <c r="AM27" i="6"/>
  <c r="AP45" i="6"/>
  <c r="I40" i="6"/>
  <c r="L21" i="6"/>
  <c r="L50" i="6"/>
  <c r="X50" i="6"/>
  <c r="AP55" i="6"/>
  <c r="AD27" i="6"/>
  <c r="AP46" i="6"/>
  <c r="AJ27" i="6"/>
  <c r="AP25" i="6"/>
  <c r="AP44" i="6"/>
  <c r="AP58" i="6"/>
  <c r="AA27" i="6"/>
  <c r="AP9" i="6"/>
  <c r="AP13" i="6"/>
  <c r="AP17" i="6"/>
  <c r="AP52" i="6"/>
  <c r="AP56" i="6"/>
  <c r="AP60" i="6"/>
  <c r="AP24" i="6"/>
  <c r="AP43" i="6"/>
  <c r="AP47" i="6"/>
  <c r="AP53" i="6"/>
  <c r="AP57" i="6"/>
  <c r="Z22" i="6"/>
  <c r="I8" i="6"/>
  <c r="L8" i="6"/>
  <c r="L40" i="6"/>
  <c r="U21" i="6"/>
  <c r="U50" i="6"/>
  <c r="AD40" i="6"/>
  <c r="AJ21" i="6"/>
  <c r="AM21" i="6"/>
  <c r="AP42" i="6"/>
  <c r="I50" i="6"/>
  <c r="R21" i="6"/>
  <c r="R50" i="6"/>
  <c r="U8" i="6"/>
  <c r="U40" i="6"/>
  <c r="AA21" i="6"/>
  <c r="AD21" i="6"/>
  <c r="AG21" i="6"/>
  <c r="AG27" i="6"/>
  <c r="AJ8" i="6"/>
  <c r="AJ40" i="6"/>
  <c r="AJ50" i="6"/>
  <c r="AM8" i="6"/>
  <c r="AM40" i="6"/>
  <c r="AM50" i="6"/>
  <c r="AO21" i="6"/>
  <c r="AO40" i="6"/>
  <c r="AP51" i="6"/>
  <c r="O21" i="6"/>
  <c r="O50" i="6"/>
  <c r="R8" i="6"/>
  <c r="R40" i="6"/>
  <c r="X21" i="6"/>
  <c r="AA8" i="6"/>
  <c r="AA50" i="6"/>
  <c r="AD8" i="6"/>
  <c r="AD50" i="6"/>
  <c r="AG8" i="6"/>
  <c r="AG50" i="6"/>
  <c r="AP22" i="6"/>
  <c r="AO27" i="6"/>
  <c r="AP41" i="6"/>
  <c r="AO50" i="6"/>
  <c r="K10" i="6"/>
  <c r="AF59" i="6"/>
  <c r="AC16" i="6"/>
  <c r="AF32" i="6"/>
  <c r="N55" i="6"/>
  <c r="K28" i="6"/>
  <c r="H42" i="6"/>
  <c r="Z57" i="6"/>
  <c r="H48" i="6"/>
  <c r="W13" i="6"/>
  <c r="Z23" i="6"/>
  <c r="AF51" i="6"/>
  <c r="W9" i="6"/>
  <c r="AI10" i="6"/>
  <c r="AI18" i="6"/>
  <c r="AF22" i="6"/>
  <c r="Z24" i="6"/>
  <c r="AL28" i="6"/>
  <c r="T44" i="6"/>
  <c r="H51" i="6"/>
  <c r="Z53" i="6"/>
  <c r="AL55" i="6"/>
  <c r="H59" i="6"/>
  <c r="AI9" i="6"/>
  <c r="T11" i="6"/>
  <c r="AI15" i="6"/>
  <c r="K19" i="6"/>
  <c r="N23" i="6"/>
  <c r="W29" i="6"/>
  <c r="T32" i="6"/>
  <c r="AF37" i="6"/>
  <c r="T46" i="6"/>
  <c r="T51" i="6"/>
  <c r="AL53" i="6"/>
  <c r="N57" i="6"/>
  <c r="T59" i="6"/>
  <c r="K9" i="6"/>
  <c r="W10" i="6"/>
  <c r="T14" i="6"/>
  <c r="N24" i="6"/>
  <c r="Z35" i="6"/>
  <c r="AF42" i="6"/>
  <c r="N53" i="6"/>
  <c r="Z55" i="6"/>
  <c r="AL57" i="6"/>
  <c r="Q30" i="6"/>
  <c r="W31" i="6"/>
  <c r="W33" i="6"/>
  <c r="K35" i="6"/>
  <c r="AC41" i="6"/>
  <c r="W43" i="6"/>
  <c r="Q45" i="6"/>
  <c r="Q47" i="6"/>
  <c r="AC52" i="6"/>
  <c r="W54" i="6"/>
  <c r="Q56" i="6"/>
  <c r="AC58" i="6"/>
  <c r="AF9" i="6"/>
  <c r="T10" i="6"/>
  <c r="AC11" i="6"/>
  <c r="AI13" i="6"/>
  <c r="W14" i="6"/>
  <c r="K16" i="6"/>
  <c r="N22" i="6"/>
  <c r="AL22" i="6"/>
  <c r="W23" i="6"/>
  <c r="T24" i="6"/>
  <c r="AL24" i="6"/>
  <c r="N28" i="6"/>
  <c r="AF29" i="6"/>
  <c r="AI31" i="6"/>
  <c r="W32" i="6"/>
  <c r="AF33" i="6"/>
  <c r="W35" i="6"/>
  <c r="K36" i="6"/>
  <c r="K38" i="6"/>
  <c r="K41" i="6"/>
  <c r="AI41" i="6"/>
  <c r="AC43" i="6"/>
  <c r="AF44" i="6"/>
  <c r="W45" i="6"/>
  <c r="W47" i="6"/>
  <c r="N51" i="6"/>
  <c r="AL51" i="6"/>
  <c r="H53" i="6"/>
  <c r="AF53" i="6"/>
  <c r="H55" i="6"/>
  <c r="AF55" i="6"/>
  <c r="H57" i="6"/>
  <c r="AF57" i="6"/>
  <c r="Z59" i="6"/>
  <c r="W60" i="6"/>
  <c r="AF11" i="6"/>
  <c r="AF14" i="6"/>
  <c r="T15" i="6"/>
  <c r="T17" i="6"/>
  <c r="J23" i="6"/>
  <c r="W28" i="6"/>
  <c r="K29" i="6"/>
  <c r="AI29" i="6"/>
  <c r="K33" i="6"/>
  <c r="AI33" i="6"/>
  <c r="W36" i="6"/>
  <c r="Q38" i="6"/>
  <c r="Q41" i="6"/>
  <c r="K43" i="6"/>
  <c r="AI43" i="6"/>
  <c r="AC45" i="6"/>
  <c r="AC47" i="6"/>
  <c r="T9" i="6"/>
  <c r="AF10" i="6"/>
  <c r="Q11" i="6"/>
  <c r="K13" i="6"/>
  <c r="K14" i="6"/>
  <c r="AI14" i="6"/>
  <c r="W15" i="6"/>
  <c r="AF16" i="6"/>
  <c r="W19" i="6"/>
  <c r="AC22" i="6"/>
  <c r="AL23" i="6"/>
  <c r="AF24" i="6"/>
  <c r="AF25" i="6"/>
  <c r="AI28" i="6"/>
  <c r="T29" i="6"/>
  <c r="K31" i="6"/>
  <c r="K32" i="6"/>
  <c r="AI32" i="6"/>
  <c r="T33" i="6"/>
  <c r="AI35" i="6"/>
  <c r="AI38" i="6"/>
  <c r="W41" i="6"/>
  <c r="Q43" i="6"/>
  <c r="K45" i="6"/>
  <c r="AI45" i="6"/>
  <c r="K47" i="6"/>
  <c r="AI47" i="6"/>
  <c r="Z51" i="6"/>
  <c r="T53" i="6"/>
  <c r="T55" i="6"/>
  <c r="T57" i="6"/>
  <c r="N59" i="6"/>
  <c r="AL59" i="6"/>
  <c r="AC19" i="6"/>
  <c r="AC15" i="6"/>
  <c r="Z9" i="6"/>
  <c r="Q12" i="6"/>
  <c r="AC12" i="6"/>
  <c r="N13" i="6"/>
  <c r="AL13" i="6"/>
  <c r="AL15" i="6"/>
  <c r="Z17" i="6"/>
  <c r="Q18" i="6"/>
  <c r="Z19" i="6"/>
  <c r="Q22" i="6"/>
  <c r="Z38" i="6"/>
  <c r="Z36" i="6"/>
  <c r="Z33" i="6"/>
  <c r="Z32" i="6"/>
  <c r="Z29" i="6"/>
  <c r="AL31" i="6"/>
  <c r="Z34" i="6"/>
  <c r="Z37" i="6"/>
  <c r="Q9" i="6"/>
  <c r="AC9" i="6"/>
  <c r="N10" i="6"/>
  <c r="Z10" i="6"/>
  <c r="AL10" i="6"/>
  <c r="K11" i="6"/>
  <c r="W11" i="6"/>
  <c r="AI11" i="6"/>
  <c r="T12" i="6"/>
  <c r="AF12" i="6"/>
  <c r="AC13" i="6"/>
  <c r="N14" i="6"/>
  <c r="Z14" i="6"/>
  <c r="AL14" i="6"/>
  <c r="K15" i="6"/>
  <c r="Z15" i="6"/>
  <c r="T16" i="6"/>
  <c r="AI16" i="6"/>
  <c r="N17" i="6"/>
  <c r="AC17" i="6"/>
  <c r="W18" i="6"/>
  <c r="AL18" i="6"/>
  <c r="N19" i="6"/>
  <c r="AF19" i="6"/>
  <c r="J22" i="6"/>
  <c r="T22" i="6"/>
  <c r="AC23" i="6"/>
  <c r="T25" i="6"/>
  <c r="Q37" i="6"/>
  <c r="Q32" i="6"/>
  <c r="Q29" i="6"/>
  <c r="Q36" i="6"/>
  <c r="Q35" i="6"/>
  <c r="Q31" i="6"/>
  <c r="Q28" i="6"/>
  <c r="AC37" i="6"/>
  <c r="AC38" i="6"/>
  <c r="AC32" i="6"/>
  <c r="AC29" i="6"/>
  <c r="AC35" i="6"/>
  <c r="AC31" i="6"/>
  <c r="AC28" i="6"/>
  <c r="Z28" i="6"/>
  <c r="N30" i="6"/>
  <c r="AL30" i="6"/>
  <c r="AC33" i="6"/>
  <c r="AC34" i="6"/>
  <c r="AC36" i="6"/>
  <c r="N47" i="6"/>
  <c r="N43" i="6"/>
  <c r="N45" i="6"/>
  <c r="N41" i="6"/>
  <c r="N44" i="6"/>
  <c r="N42" i="6"/>
  <c r="Z47" i="6"/>
  <c r="Z43" i="6"/>
  <c r="Z45" i="6"/>
  <c r="Z41" i="6"/>
  <c r="Z48" i="6"/>
  <c r="Z46" i="6"/>
  <c r="AL47" i="6"/>
  <c r="AL43" i="6"/>
  <c r="AL45" i="6"/>
  <c r="AL41" i="6"/>
  <c r="AL44" i="6"/>
  <c r="AL42" i="6"/>
  <c r="Z44" i="6"/>
  <c r="N46" i="6"/>
  <c r="K57" i="6"/>
  <c r="K53" i="6"/>
  <c r="K59" i="6"/>
  <c r="K55" i="6"/>
  <c r="K51" i="6"/>
  <c r="K54" i="6"/>
  <c r="K60" i="6"/>
  <c r="K52" i="6"/>
  <c r="W57" i="6"/>
  <c r="W53" i="6"/>
  <c r="W59" i="6"/>
  <c r="W55" i="6"/>
  <c r="W51" i="6"/>
  <c r="W58" i="6"/>
  <c r="W56" i="6"/>
  <c r="AI57" i="6"/>
  <c r="AI53" i="6"/>
  <c r="AI59" i="6"/>
  <c r="AI55" i="6"/>
  <c r="AI51" i="6"/>
  <c r="AI54" i="6"/>
  <c r="AI60" i="6"/>
  <c r="AI52" i="6"/>
  <c r="AI56" i="6"/>
  <c r="N12" i="6"/>
  <c r="Z12" i="6"/>
  <c r="AL12" i="6"/>
  <c r="AL17" i="6"/>
  <c r="N18" i="6"/>
  <c r="AL19" i="6"/>
  <c r="Q19" i="6"/>
  <c r="Q15" i="6"/>
  <c r="N9" i="6"/>
  <c r="AL9" i="6"/>
  <c r="Z13" i="6"/>
  <c r="Q16" i="6"/>
  <c r="Q25" i="6"/>
  <c r="N38" i="6"/>
  <c r="N36" i="6"/>
  <c r="N33" i="6"/>
  <c r="N37" i="6"/>
  <c r="N32" i="6"/>
  <c r="N29" i="6"/>
  <c r="AL38" i="6"/>
  <c r="AL36" i="6"/>
  <c r="AL33" i="6"/>
  <c r="AL37" i="6"/>
  <c r="AL32" i="6"/>
  <c r="AL29" i="6"/>
  <c r="N31" i="6"/>
  <c r="Q10" i="6"/>
  <c r="AC10" i="6"/>
  <c r="N11" i="6"/>
  <c r="Z11" i="6"/>
  <c r="AL11" i="6"/>
  <c r="K12" i="6"/>
  <c r="W12" i="6"/>
  <c r="AI12" i="6"/>
  <c r="T13" i="6"/>
  <c r="AF13" i="6"/>
  <c r="Q14" i="6"/>
  <c r="AC14" i="6"/>
  <c r="N15" i="6"/>
  <c r="AF15" i="6"/>
  <c r="W16" i="6"/>
  <c r="Q17" i="6"/>
  <c r="AF17" i="6"/>
  <c r="K18" i="6"/>
  <c r="Z18" i="6"/>
  <c r="T19" i="6"/>
  <c r="AI19" i="6"/>
  <c r="K22" i="6"/>
  <c r="K25" i="6"/>
  <c r="W22" i="6"/>
  <c r="W25" i="6"/>
  <c r="AI22" i="6"/>
  <c r="AI25" i="6"/>
  <c r="Q23" i="6"/>
  <c r="AI23" i="6"/>
  <c r="K24" i="6"/>
  <c r="J25" i="6"/>
  <c r="AC25" i="6"/>
  <c r="Z31" i="6"/>
  <c r="Q33" i="6"/>
  <c r="N34" i="6"/>
  <c r="AL34" i="6"/>
  <c r="AL48" i="6"/>
  <c r="K58" i="6"/>
  <c r="T30" i="6"/>
  <c r="AF30" i="6"/>
  <c r="T34" i="6"/>
  <c r="AF34" i="6"/>
  <c r="AF36" i="6"/>
  <c r="W38" i="6"/>
  <c r="Q59" i="6"/>
  <c r="Q55" i="6"/>
  <c r="Q51" i="6"/>
  <c r="Q57" i="6"/>
  <c r="Q53" i="6"/>
  <c r="AC59" i="6"/>
  <c r="AC55" i="6"/>
  <c r="AC51" i="6"/>
  <c r="AC57" i="6"/>
  <c r="AC53" i="6"/>
  <c r="AC54" i="6"/>
  <c r="Q58" i="6"/>
  <c r="T28" i="6"/>
  <c r="AF28" i="6"/>
  <c r="K30" i="6"/>
  <c r="W30" i="6"/>
  <c r="AI30" i="6"/>
  <c r="T31" i="6"/>
  <c r="AF31" i="6"/>
  <c r="K34" i="6"/>
  <c r="W34" i="6"/>
  <c r="AI34" i="6"/>
  <c r="T35" i="6"/>
  <c r="AF35" i="6"/>
  <c r="T36" i="6"/>
  <c r="AI36" i="6"/>
  <c r="T37" i="6"/>
  <c r="H45" i="6"/>
  <c r="H41" i="6"/>
  <c r="H47" i="6"/>
  <c r="H43" i="6"/>
  <c r="T45" i="6"/>
  <c r="T41" i="6"/>
  <c r="T47" i="6"/>
  <c r="T43" i="6"/>
  <c r="AF45" i="6"/>
  <c r="AF41" i="6"/>
  <c r="AF47" i="6"/>
  <c r="AF43" i="6"/>
  <c r="T42" i="6"/>
  <c r="H46" i="6"/>
  <c r="AF46" i="6"/>
  <c r="Q52" i="6"/>
  <c r="AC56" i="6"/>
  <c r="Q60" i="6"/>
  <c r="K42" i="6"/>
  <c r="W42" i="6"/>
  <c r="AI42" i="6"/>
  <c r="Q44" i="6"/>
  <c r="AC44" i="6"/>
  <c r="K46" i="6"/>
  <c r="W46" i="6"/>
  <c r="AI46" i="6"/>
  <c r="Q48" i="6"/>
  <c r="AC48" i="6"/>
  <c r="H52" i="6"/>
  <c r="T52" i="6"/>
  <c r="AF52" i="6"/>
  <c r="N54" i="6"/>
  <c r="Z54" i="6"/>
  <c r="AL54" i="6"/>
  <c r="H56" i="6"/>
  <c r="T56" i="6"/>
  <c r="AF56" i="6"/>
  <c r="N58" i="6"/>
  <c r="Z58" i="6"/>
  <c r="AL58" i="6"/>
  <c r="H60" i="6"/>
  <c r="T60" i="6"/>
  <c r="AF60" i="6"/>
  <c r="Q42" i="6"/>
  <c r="AC42" i="6"/>
  <c r="K44" i="6"/>
  <c r="W44" i="6"/>
  <c r="AI44" i="6"/>
  <c r="N52" i="6"/>
  <c r="Z52" i="6"/>
  <c r="AL52" i="6"/>
  <c r="H54" i="6"/>
  <c r="T54" i="6"/>
  <c r="AF54" i="6"/>
  <c r="N56" i="6"/>
  <c r="Z56" i="6"/>
  <c r="AL56" i="6"/>
  <c r="AO62" i="6" l="1"/>
  <c r="AD62" i="6"/>
  <c r="AM62" i="6"/>
  <c r="AG62" i="6"/>
  <c r="AA62" i="6"/>
  <c r="AJ62" i="6"/>
  <c r="J19" i="6"/>
  <c r="M19" i="6" s="1"/>
  <c r="P19" i="6" s="1"/>
  <c r="S19" i="6" s="1"/>
  <c r="V19" i="6" s="1"/>
  <c r="Y19" i="6" s="1"/>
  <c r="AB19" i="6" s="1"/>
  <c r="AE19" i="6" s="1"/>
  <c r="AH19" i="6" s="1"/>
  <c r="AK19" i="6" s="1"/>
  <c r="AN19" i="6" s="1"/>
  <c r="J58" i="6"/>
  <c r="M58" i="6" s="1"/>
  <c r="P58" i="6" s="1"/>
  <c r="S58" i="6" s="1"/>
  <c r="V58" i="6" s="1"/>
  <c r="Y58" i="6" s="1"/>
  <c r="AB58" i="6" s="1"/>
  <c r="AE58" i="6" s="1"/>
  <c r="AH58" i="6" s="1"/>
  <c r="AK58" i="6" s="1"/>
  <c r="AN58" i="6" s="1"/>
  <c r="J46" i="6"/>
  <c r="M46" i="6" s="1"/>
  <c r="P46" i="6" s="1"/>
  <c r="S46" i="6" s="1"/>
  <c r="V46" i="6" s="1"/>
  <c r="Y46" i="6" s="1"/>
  <c r="AB46" i="6" s="1"/>
  <c r="AE46" i="6" s="1"/>
  <c r="AH46" i="6" s="1"/>
  <c r="AK46" i="6" s="1"/>
  <c r="AN46" i="6" s="1"/>
  <c r="J42" i="6"/>
  <c r="M42" i="6" s="1"/>
  <c r="P42" i="6" s="1"/>
  <c r="S42" i="6" s="1"/>
  <c r="V42" i="6" s="1"/>
  <c r="Y42" i="6" s="1"/>
  <c r="AB42" i="6" s="1"/>
  <c r="AE42" i="6" s="1"/>
  <c r="AH42" i="6" s="1"/>
  <c r="AK42" i="6" s="1"/>
  <c r="AN42" i="6" s="1"/>
  <c r="J56" i="6"/>
  <c r="M56" i="6" s="1"/>
  <c r="P56" i="6" s="1"/>
  <c r="S56" i="6" s="1"/>
  <c r="V56" i="6" s="1"/>
  <c r="Y56" i="6" s="1"/>
  <c r="AB56" i="6" s="1"/>
  <c r="AE56" i="6" s="1"/>
  <c r="AH56" i="6" s="1"/>
  <c r="AK56" i="6" s="1"/>
  <c r="AN56" i="6" s="1"/>
  <c r="J41" i="6"/>
  <c r="M41" i="6" s="1"/>
  <c r="P41" i="6" s="1"/>
  <c r="S41" i="6" s="1"/>
  <c r="V41" i="6" s="1"/>
  <c r="Y41" i="6" s="1"/>
  <c r="AB41" i="6" s="1"/>
  <c r="AE41" i="6" s="1"/>
  <c r="AH41" i="6" s="1"/>
  <c r="AK41" i="6" s="1"/>
  <c r="AN41" i="6" s="1"/>
  <c r="J17" i="6"/>
  <c r="M17" i="6" s="1"/>
  <c r="P17" i="6" s="1"/>
  <c r="S17" i="6" s="1"/>
  <c r="V17" i="6" s="1"/>
  <c r="Y17" i="6" s="1"/>
  <c r="AB17" i="6" s="1"/>
  <c r="AE17" i="6" s="1"/>
  <c r="AH17" i="6" s="1"/>
  <c r="AK17" i="6" s="1"/>
  <c r="AN17" i="6" s="1"/>
  <c r="J45" i="6"/>
  <c r="M45" i="6" s="1"/>
  <c r="P45" i="6" s="1"/>
  <c r="S45" i="6" s="1"/>
  <c r="V45" i="6" s="1"/>
  <c r="Y45" i="6" s="1"/>
  <c r="AB45" i="6" s="1"/>
  <c r="AE45" i="6" s="1"/>
  <c r="AH45" i="6" s="1"/>
  <c r="AK45" i="6" s="1"/>
  <c r="AN45" i="6" s="1"/>
  <c r="J15" i="6"/>
  <c r="M15" i="6" s="1"/>
  <c r="P15" i="6" s="1"/>
  <c r="S15" i="6" s="1"/>
  <c r="V15" i="6" s="1"/>
  <c r="Y15" i="6" s="1"/>
  <c r="AB15" i="6" s="1"/>
  <c r="AE15" i="6" s="1"/>
  <c r="AH15" i="6" s="1"/>
  <c r="AK15" i="6" s="1"/>
  <c r="AN15" i="6" s="1"/>
  <c r="J9" i="6"/>
  <c r="M9" i="6" s="1"/>
  <c r="P9" i="6" s="1"/>
  <c r="S9" i="6" s="1"/>
  <c r="V9" i="6" s="1"/>
  <c r="Y9" i="6" s="1"/>
  <c r="AB9" i="6" s="1"/>
  <c r="AE9" i="6" s="1"/>
  <c r="AH9" i="6" s="1"/>
  <c r="AK9" i="6" s="1"/>
  <c r="AN9" i="6" s="1"/>
  <c r="J10" i="6"/>
  <c r="M10" i="6" s="1"/>
  <c r="P10" i="6" s="1"/>
  <c r="S10" i="6" s="1"/>
  <c r="V10" i="6" s="1"/>
  <c r="Y10" i="6" s="1"/>
  <c r="AB10" i="6" s="1"/>
  <c r="AE10" i="6" s="1"/>
  <c r="AH10" i="6" s="1"/>
  <c r="AK10" i="6" s="1"/>
  <c r="AN10" i="6" s="1"/>
  <c r="J44" i="6"/>
  <c r="M44" i="6" s="1"/>
  <c r="P44" i="6" s="1"/>
  <c r="S44" i="6" s="1"/>
  <c r="V44" i="6" s="1"/>
  <c r="Y44" i="6" s="1"/>
  <c r="AB44" i="6" s="1"/>
  <c r="AE44" i="6" s="1"/>
  <c r="AH44" i="6" s="1"/>
  <c r="AK44" i="6" s="1"/>
  <c r="AN44" i="6" s="1"/>
  <c r="J55" i="6"/>
  <c r="M55" i="6" s="1"/>
  <c r="P55" i="6" s="1"/>
  <c r="S55" i="6" s="1"/>
  <c r="V55" i="6" s="1"/>
  <c r="Y55" i="6" s="1"/>
  <c r="AB55" i="6" s="1"/>
  <c r="AE55" i="6" s="1"/>
  <c r="AH55" i="6" s="1"/>
  <c r="AK55" i="6" s="1"/>
  <c r="AN55" i="6" s="1"/>
  <c r="J11" i="6"/>
  <c r="M11" i="6" s="1"/>
  <c r="P11" i="6" s="1"/>
  <c r="S11" i="6" s="1"/>
  <c r="V11" i="6" s="1"/>
  <c r="Y11" i="6" s="1"/>
  <c r="AB11" i="6" s="1"/>
  <c r="AE11" i="6" s="1"/>
  <c r="AH11" i="6" s="1"/>
  <c r="AK11" i="6" s="1"/>
  <c r="AN11" i="6" s="1"/>
  <c r="J54" i="6"/>
  <c r="M54" i="6" s="1"/>
  <c r="P54" i="6" s="1"/>
  <c r="S54" i="6" s="1"/>
  <c r="V54" i="6" s="1"/>
  <c r="Y54" i="6" s="1"/>
  <c r="AB54" i="6" s="1"/>
  <c r="AE54" i="6" s="1"/>
  <c r="AH54" i="6" s="1"/>
  <c r="AK54" i="6" s="1"/>
  <c r="AN54" i="6" s="1"/>
  <c r="J60" i="6"/>
  <c r="M60" i="6" s="1"/>
  <c r="P60" i="6" s="1"/>
  <c r="S60" i="6" s="1"/>
  <c r="V60" i="6" s="1"/>
  <c r="Y60" i="6" s="1"/>
  <c r="AB60" i="6" s="1"/>
  <c r="AE60" i="6" s="1"/>
  <c r="AH60" i="6" s="1"/>
  <c r="AK60" i="6" s="1"/>
  <c r="AN60" i="6" s="1"/>
  <c r="J52" i="6"/>
  <c r="M52" i="6" s="1"/>
  <c r="P52" i="6" s="1"/>
  <c r="S52" i="6" s="1"/>
  <c r="V52" i="6" s="1"/>
  <c r="Y52" i="6" s="1"/>
  <c r="AB52" i="6" s="1"/>
  <c r="AE52" i="6" s="1"/>
  <c r="AH52" i="6" s="1"/>
  <c r="AK52" i="6" s="1"/>
  <c r="AN52" i="6" s="1"/>
  <c r="J43" i="6"/>
  <c r="M43" i="6" s="1"/>
  <c r="P43" i="6" s="1"/>
  <c r="S43" i="6" s="1"/>
  <c r="V43" i="6" s="1"/>
  <c r="Y43" i="6" s="1"/>
  <c r="AB43" i="6" s="1"/>
  <c r="AE43" i="6" s="1"/>
  <c r="AH43" i="6" s="1"/>
  <c r="AK43" i="6" s="1"/>
  <c r="AN43" i="6" s="1"/>
  <c r="J57" i="6"/>
  <c r="M57" i="6" s="1"/>
  <c r="P57" i="6" s="1"/>
  <c r="S57" i="6" s="1"/>
  <c r="V57" i="6" s="1"/>
  <c r="Y57" i="6" s="1"/>
  <c r="AB57" i="6" s="1"/>
  <c r="AE57" i="6" s="1"/>
  <c r="AH57" i="6" s="1"/>
  <c r="AK57" i="6" s="1"/>
  <c r="AN57" i="6" s="1"/>
  <c r="J53" i="6"/>
  <c r="M53" i="6" s="1"/>
  <c r="P53" i="6" s="1"/>
  <c r="S53" i="6" s="1"/>
  <c r="V53" i="6" s="1"/>
  <c r="Y53" i="6" s="1"/>
  <c r="AB53" i="6" s="1"/>
  <c r="AE53" i="6" s="1"/>
  <c r="AH53" i="6" s="1"/>
  <c r="AK53" i="6" s="1"/>
  <c r="AN53" i="6" s="1"/>
  <c r="J51" i="6"/>
  <c r="M51" i="6" s="1"/>
  <c r="P51" i="6" s="1"/>
  <c r="S51" i="6" s="1"/>
  <c r="V51" i="6" s="1"/>
  <c r="Y51" i="6" s="1"/>
  <c r="AB51" i="6" s="1"/>
  <c r="AE51" i="6" s="1"/>
  <c r="AH51" i="6" s="1"/>
  <c r="AK51" i="6" s="1"/>
  <c r="AN51" i="6" s="1"/>
  <c r="J48" i="6"/>
  <c r="M48" i="6" s="1"/>
  <c r="P48" i="6" s="1"/>
  <c r="S48" i="6" s="1"/>
  <c r="V48" i="6" s="1"/>
  <c r="Y48" i="6" s="1"/>
  <c r="AB48" i="6" s="1"/>
  <c r="AE48" i="6" s="1"/>
  <c r="AH48" i="6" s="1"/>
  <c r="AK48" i="6" s="1"/>
  <c r="AN48" i="6" s="1"/>
  <c r="J18" i="6"/>
  <c r="M18" i="6" s="1"/>
  <c r="P18" i="6" s="1"/>
  <c r="S18" i="6" s="1"/>
  <c r="V18" i="6" s="1"/>
  <c r="Y18" i="6" s="1"/>
  <c r="AB18" i="6" s="1"/>
  <c r="AE18" i="6" s="1"/>
  <c r="AH18" i="6" s="1"/>
  <c r="AK18" i="6" s="1"/>
  <c r="AN18" i="6" s="1"/>
  <c r="J16" i="6"/>
  <c r="M16" i="6" s="1"/>
  <c r="P16" i="6" s="1"/>
  <c r="S16" i="6" s="1"/>
  <c r="V16" i="6" s="1"/>
  <c r="Y16" i="6" s="1"/>
  <c r="AB16" i="6" s="1"/>
  <c r="AE16" i="6" s="1"/>
  <c r="AH16" i="6" s="1"/>
  <c r="AK16" i="6" s="1"/>
  <c r="AN16" i="6" s="1"/>
  <c r="J47" i="6"/>
  <c r="M47" i="6" s="1"/>
  <c r="P47" i="6" s="1"/>
  <c r="S47" i="6" s="1"/>
  <c r="V47" i="6" s="1"/>
  <c r="Y47" i="6" s="1"/>
  <c r="AB47" i="6" s="1"/>
  <c r="AE47" i="6" s="1"/>
  <c r="AH47" i="6" s="1"/>
  <c r="AK47" i="6" s="1"/>
  <c r="AN47" i="6" s="1"/>
  <c r="J59" i="6"/>
  <c r="M59" i="6" s="1"/>
  <c r="P59" i="6" s="1"/>
  <c r="S59" i="6" s="1"/>
  <c r="V59" i="6" s="1"/>
  <c r="Y59" i="6" s="1"/>
  <c r="AB59" i="6" s="1"/>
  <c r="AE59" i="6" s="1"/>
  <c r="AH59" i="6" s="1"/>
  <c r="AK59" i="6" s="1"/>
  <c r="AN59" i="6" s="1"/>
  <c r="J13" i="6"/>
  <c r="M13" i="6" s="1"/>
  <c r="P13" i="6" s="1"/>
  <c r="S13" i="6" s="1"/>
  <c r="V13" i="6" s="1"/>
  <c r="Y13" i="6" s="1"/>
  <c r="AB13" i="6" s="1"/>
  <c r="AE13" i="6" s="1"/>
  <c r="AH13" i="6" s="1"/>
  <c r="AK13" i="6" s="1"/>
  <c r="AN13" i="6" s="1"/>
  <c r="J14" i="6"/>
  <c r="M14" i="6" s="1"/>
  <c r="P14" i="6" s="1"/>
  <c r="S14" i="6" s="1"/>
  <c r="V14" i="6" s="1"/>
  <c r="Y14" i="6" s="1"/>
  <c r="AB14" i="6" s="1"/>
  <c r="AE14" i="6" s="1"/>
  <c r="AH14" i="6" s="1"/>
  <c r="AK14" i="6" s="1"/>
  <c r="AN14" i="6" s="1"/>
  <c r="J12" i="6"/>
  <c r="M12" i="6" s="1"/>
  <c r="P12" i="6" s="1"/>
  <c r="S12" i="6" s="1"/>
  <c r="V12" i="6" s="1"/>
  <c r="Y12" i="6" s="1"/>
  <c r="AB12" i="6" s="1"/>
  <c r="AE12" i="6" s="1"/>
  <c r="AH12" i="6" s="1"/>
  <c r="AK12" i="6" s="1"/>
  <c r="AN12" i="6" s="1"/>
  <c r="M24" i="6"/>
  <c r="P24" i="6" s="1"/>
  <c r="S24" i="6" s="1"/>
  <c r="V24" i="6" s="1"/>
  <c r="Y24" i="6" s="1"/>
  <c r="AB24" i="6" s="1"/>
  <c r="AE24" i="6" s="1"/>
  <c r="AH24" i="6" s="1"/>
  <c r="AK24" i="6" s="1"/>
  <c r="AN24" i="6" s="1"/>
  <c r="M22" i="6"/>
  <c r="P22" i="6" s="1"/>
  <c r="S22" i="6" s="1"/>
  <c r="V22" i="6" s="1"/>
  <c r="Y22" i="6" s="1"/>
  <c r="AB22" i="6" s="1"/>
  <c r="AE22" i="6" s="1"/>
  <c r="AH22" i="6" s="1"/>
  <c r="AK22" i="6" s="1"/>
  <c r="AN22" i="6" s="1"/>
  <c r="M25" i="6"/>
  <c r="P25" i="6" s="1"/>
  <c r="S25" i="6" s="1"/>
  <c r="V25" i="6" s="1"/>
  <c r="Y25" i="6" s="1"/>
  <c r="AB25" i="6" s="1"/>
  <c r="AE25" i="6" s="1"/>
  <c r="AH25" i="6" s="1"/>
  <c r="AK25" i="6" s="1"/>
  <c r="AN25" i="6" s="1"/>
  <c r="J21" i="6"/>
  <c r="M21" i="6" s="1"/>
  <c r="P21" i="6" s="1"/>
  <c r="S21" i="6" s="1"/>
  <c r="V21" i="6" s="1"/>
  <c r="Y21" i="6" s="1"/>
  <c r="AB21" i="6" s="1"/>
  <c r="AE21" i="6" s="1"/>
  <c r="AH21" i="6" s="1"/>
  <c r="AK21" i="6" s="1"/>
  <c r="AN21" i="6" s="1"/>
  <c r="J50" i="6"/>
  <c r="M50" i="6" s="1"/>
  <c r="P50" i="6" s="1"/>
  <c r="S50" i="6" s="1"/>
  <c r="V50" i="6" s="1"/>
  <c r="Y50" i="6" s="1"/>
  <c r="AB50" i="6" s="1"/>
  <c r="AE50" i="6" s="1"/>
  <c r="AH50" i="6" s="1"/>
  <c r="AK50" i="6" s="1"/>
  <c r="AN50" i="6" s="1"/>
  <c r="J40" i="6"/>
  <c r="M40" i="6" s="1"/>
  <c r="P40" i="6" s="1"/>
  <c r="S40" i="6" s="1"/>
  <c r="V40" i="6" s="1"/>
  <c r="Y40" i="6" s="1"/>
  <c r="AB40" i="6" s="1"/>
  <c r="AE40" i="6" s="1"/>
  <c r="AH40" i="6" s="1"/>
  <c r="AK40" i="6" s="1"/>
  <c r="AN40" i="6" s="1"/>
  <c r="J8" i="6"/>
  <c r="M8" i="6" s="1"/>
  <c r="P8" i="6" s="1"/>
  <c r="S8" i="6" s="1"/>
  <c r="V8" i="6" s="1"/>
  <c r="Y8" i="6" s="1"/>
  <c r="AB8" i="6" s="1"/>
  <c r="AE8" i="6" s="1"/>
  <c r="AH8" i="6" s="1"/>
  <c r="AK8" i="6" s="1"/>
  <c r="AN8" i="6" s="1"/>
  <c r="M23" i="6"/>
  <c r="P23" i="6" s="1"/>
  <c r="S23" i="6" s="1"/>
  <c r="V23" i="6" s="1"/>
  <c r="Y23" i="6" s="1"/>
  <c r="AB23" i="6" s="1"/>
  <c r="AE23" i="6" s="1"/>
  <c r="AH23" i="6" s="1"/>
  <c r="AK23" i="6" s="1"/>
  <c r="AN23" i="6" s="1"/>
  <c r="AP50" i="6"/>
  <c r="AQ50" i="6" s="1"/>
  <c r="AO60" i="6"/>
  <c r="AQ60" i="6" s="1"/>
  <c r="AP40" i="6"/>
  <c r="AQ40" i="6" s="1"/>
  <c r="AO52" i="6"/>
  <c r="AQ52" i="6" s="1"/>
  <c r="AO58" i="6"/>
  <c r="AQ58" i="6" s="1"/>
  <c r="AO46" i="6"/>
  <c r="AQ46" i="6" s="1"/>
  <c r="AO45" i="6"/>
  <c r="AQ45" i="6" s="1"/>
  <c r="AO18" i="6"/>
  <c r="AQ18" i="6" s="1"/>
  <c r="AP8" i="6"/>
  <c r="AQ8" i="6" s="1"/>
  <c r="AO25" i="6"/>
  <c r="AQ25" i="6" s="1"/>
  <c r="AO35" i="6"/>
  <c r="AO16" i="6"/>
  <c r="AQ16" i="6" s="1"/>
  <c r="AP21" i="6"/>
  <c r="AQ21" i="6" s="1"/>
  <c r="AO51" i="6"/>
  <c r="AQ51" i="6" s="1"/>
  <c r="AO28" i="6"/>
  <c r="AO29" i="6"/>
  <c r="AO12" i="6"/>
  <c r="AQ12" i="6" s="1"/>
  <c r="AO42" i="6"/>
  <c r="AQ42" i="6" s="1"/>
  <c r="AO31" i="6"/>
  <c r="AO13" i="6"/>
  <c r="AQ13" i="6" s="1"/>
  <c r="AO53" i="6"/>
  <c r="AQ53" i="6" s="1"/>
  <c r="AO56" i="6"/>
  <c r="AQ56" i="6" s="1"/>
  <c r="AO54" i="6"/>
  <c r="AQ54" i="6" s="1"/>
  <c r="AO11" i="6"/>
  <c r="AQ11" i="6" s="1"/>
  <c r="AO32" i="6"/>
  <c r="AO36" i="6"/>
  <c r="AO9" i="6"/>
  <c r="AQ9" i="6" s="1"/>
  <c r="AO19" i="6"/>
  <c r="AQ19" i="6" s="1"/>
  <c r="AO44" i="6"/>
  <c r="AQ44" i="6" s="1"/>
  <c r="AO47" i="6"/>
  <c r="AQ47" i="6" s="1"/>
  <c r="AO14" i="6"/>
  <c r="AQ14" i="6" s="1"/>
  <c r="AO23" i="6"/>
  <c r="AQ23" i="6" s="1"/>
  <c r="AO55" i="6"/>
  <c r="AQ55" i="6" s="1"/>
  <c r="AO34" i="6"/>
  <c r="AO17" i="6"/>
  <c r="AQ17" i="6" s="1"/>
  <c r="AO15" i="6"/>
  <c r="AQ15" i="6" s="1"/>
  <c r="AO22" i="6"/>
  <c r="AQ22" i="6" s="1"/>
  <c r="AO57" i="6"/>
  <c r="AQ57" i="6" s="1"/>
  <c r="AO33" i="6"/>
  <c r="AO43" i="6"/>
  <c r="AQ43" i="6" s="1"/>
  <c r="AO10" i="6"/>
  <c r="AQ10" i="6" s="1"/>
  <c r="AO59" i="6"/>
  <c r="AQ59" i="6" s="1"/>
  <c r="AO24" i="6"/>
  <c r="AQ24" i="6" s="1"/>
  <c r="AO48" i="6"/>
  <c r="AQ48" i="6" s="1"/>
  <c r="AO37" i="6"/>
  <c r="AO38" i="6"/>
  <c r="AO41" i="6"/>
  <c r="AQ41" i="6" s="1"/>
  <c r="AO30" i="6"/>
  <c r="D43" i="4" l="1"/>
  <c r="E43" i="4"/>
  <c r="F43" i="4"/>
  <c r="F20" i="4"/>
  <c r="E20" i="4"/>
  <c r="D20" i="4"/>
  <c r="F59" i="4"/>
  <c r="E59" i="4"/>
  <c r="F58" i="4"/>
  <c r="E58" i="4"/>
  <c r="F55" i="4"/>
  <c r="F54" i="4" s="1"/>
  <c r="E55" i="4"/>
  <c r="E54" i="4" s="1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19" i="4"/>
  <c r="E19" i="4"/>
  <c r="F18" i="4"/>
  <c r="E18" i="4"/>
  <c r="F17" i="4"/>
  <c r="E17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D59" i="4"/>
  <c r="D58" i="4"/>
  <c r="D55" i="4"/>
  <c r="D54" i="4" s="1"/>
  <c r="D52" i="4"/>
  <c r="D51" i="4"/>
  <c r="D50" i="4"/>
  <c r="D49" i="4"/>
  <c r="D48" i="4"/>
  <c r="D47" i="4"/>
  <c r="D46" i="4"/>
  <c r="D42" i="4"/>
  <c r="D41" i="4"/>
  <c r="D40" i="4"/>
  <c r="D39" i="4"/>
  <c r="D38" i="4"/>
  <c r="D37" i="4"/>
  <c r="D36" i="4"/>
  <c r="D19" i="4"/>
  <c r="D18" i="4"/>
  <c r="D17" i="4"/>
  <c r="D14" i="4"/>
  <c r="D13" i="4"/>
  <c r="D12" i="4"/>
  <c r="D11" i="4"/>
  <c r="D10" i="4"/>
  <c r="D9" i="4"/>
  <c r="D8" i="4"/>
  <c r="D7" i="4"/>
  <c r="D6" i="4"/>
  <c r="D5" i="4"/>
  <c r="D4" i="4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24" i="3"/>
  <c r="T25" i="3"/>
  <c r="T26" i="3"/>
  <c r="T27" i="3"/>
  <c r="T28" i="3"/>
  <c r="T29" i="3"/>
  <c r="T30" i="3"/>
  <c r="T31" i="3"/>
  <c r="T32" i="3"/>
  <c r="T33" i="3"/>
  <c r="T34" i="3"/>
  <c r="T35" i="3"/>
  <c r="L32" i="3"/>
  <c r="AA49" i="3"/>
  <c r="Z49" i="3"/>
  <c r="Y49" i="3"/>
  <c r="AA48" i="3"/>
  <c r="Z48" i="3"/>
  <c r="Y48" i="3"/>
  <c r="AA47" i="3"/>
  <c r="Z47" i="3"/>
  <c r="Y47" i="3"/>
  <c r="AA46" i="3"/>
  <c r="Z46" i="3"/>
  <c r="Y46" i="3"/>
  <c r="AA45" i="3"/>
  <c r="Z45" i="3"/>
  <c r="Y45" i="3"/>
  <c r="AA44" i="3"/>
  <c r="Z44" i="3"/>
  <c r="Y44" i="3"/>
  <c r="AA43" i="3"/>
  <c r="Z43" i="3"/>
  <c r="Y43" i="3"/>
  <c r="AA42" i="3"/>
  <c r="Z42" i="3"/>
  <c r="Y42" i="3"/>
  <c r="AA41" i="3"/>
  <c r="Z41" i="3"/>
  <c r="Y41" i="3"/>
  <c r="AA40" i="3"/>
  <c r="Z40" i="3"/>
  <c r="Y40" i="3"/>
  <c r="AA39" i="3"/>
  <c r="Z39" i="3"/>
  <c r="Y39" i="3"/>
  <c r="AA38" i="3"/>
  <c r="Z38" i="3"/>
  <c r="Y38" i="3"/>
  <c r="AA37" i="3"/>
  <c r="Z37" i="3"/>
  <c r="Y37" i="3"/>
  <c r="Y24" i="3"/>
  <c r="Z24" i="3"/>
  <c r="AA24" i="3"/>
  <c r="Y25" i="3"/>
  <c r="Z25" i="3"/>
  <c r="AA25" i="3"/>
  <c r="Y26" i="3"/>
  <c r="Z26" i="3"/>
  <c r="AA26" i="3"/>
  <c r="Y27" i="3"/>
  <c r="Z27" i="3"/>
  <c r="AA27" i="3"/>
  <c r="Y28" i="3"/>
  <c r="Z28" i="3"/>
  <c r="AA28" i="3"/>
  <c r="Y29" i="3"/>
  <c r="Z29" i="3"/>
  <c r="AA29" i="3"/>
  <c r="Y30" i="3"/>
  <c r="Z30" i="3"/>
  <c r="AA30" i="3"/>
  <c r="Y31" i="3"/>
  <c r="Z31" i="3"/>
  <c r="AA31" i="3"/>
  <c r="Y32" i="3"/>
  <c r="Z32" i="3"/>
  <c r="AA32" i="3"/>
  <c r="Y33" i="3"/>
  <c r="Z33" i="3"/>
  <c r="AA33" i="3"/>
  <c r="Y34" i="3"/>
  <c r="Z34" i="3"/>
  <c r="AA34" i="3"/>
  <c r="Y35" i="3"/>
  <c r="Z35" i="3"/>
  <c r="AA35" i="3"/>
  <c r="Z23" i="3"/>
  <c r="Y23" i="3"/>
  <c r="W49" i="3"/>
  <c r="V49" i="3"/>
  <c r="U49" i="3"/>
  <c r="W48" i="3"/>
  <c r="V48" i="3"/>
  <c r="U48" i="3"/>
  <c r="W47" i="3"/>
  <c r="V47" i="3"/>
  <c r="U47" i="3"/>
  <c r="W46" i="3"/>
  <c r="V46" i="3"/>
  <c r="U46" i="3"/>
  <c r="W45" i="3"/>
  <c r="V45" i="3"/>
  <c r="U45" i="3"/>
  <c r="W44" i="3"/>
  <c r="V44" i="3"/>
  <c r="U44" i="3"/>
  <c r="W43" i="3"/>
  <c r="V43" i="3"/>
  <c r="U43" i="3"/>
  <c r="W42" i="3"/>
  <c r="V42" i="3"/>
  <c r="U42" i="3"/>
  <c r="W41" i="3"/>
  <c r="V41" i="3"/>
  <c r="U41" i="3"/>
  <c r="W40" i="3"/>
  <c r="V40" i="3"/>
  <c r="U40" i="3"/>
  <c r="W39" i="3"/>
  <c r="V39" i="3"/>
  <c r="U39" i="3"/>
  <c r="W38" i="3"/>
  <c r="V38" i="3"/>
  <c r="U38" i="3"/>
  <c r="W37" i="3"/>
  <c r="V37" i="3"/>
  <c r="U37" i="3"/>
  <c r="U24" i="3"/>
  <c r="V24" i="3"/>
  <c r="W24" i="3"/>
  <c r="U25" i="3"/>
  <c r="V25" i="3"/>
  <c r="W25" i="3"/>
  <c r="U26" i="3"/>
  <c r="V26" i="3"/>
  <c r="W26" i="3"/>
  <c r="U27" i="3"/>
  <c r="V27" i="3"/>
  <c r="W27" i="3"/>
  <c r="U28" i="3"/>
  <c r="V28" i="3"/>
  <c r="W28" i="3"/>
  <c r="U29" i="3"/>
  <c r="V29" i="3"/>
  <c r="W29" i="3"/>
  <c r="U30" i="3"/>
  <c r="V30" i="3"/>
  <c r="W30" i="3"/>
  <c r="U31" i="3"/>
  <c r="V31" i="3"/>
  <c r="W31" i="3"/>
  <c r="U32" i="3"/>
  <c r="V32" i="3"/>
  <c r="W32" i="3"/>
  <c r="U33" i="3"/>
  <c r="V33" i="3"/>
  <c r="W33" i="3"/>
  <c r="U34" i="3"/>
  <c r="V34" i="3"/>
  <c r="W34" i="3"/>
  <c r="U35" i="3"/>
  <c r="V35" i="3"/>
  <c r="W35" i="3"/>
  <c r="W23" i="3"/>
  <c r="V23" i="3"/>
  <c r="U23" i="3"/>
  <c r="O3" i="3"/>
  <c r="O4" i="3"/>
  <c r="O5" i="3"/>
  <c r="O6" i="3"/>
  <c r="O7" i="3"/>
  <c r="O8" i="3"/>
  <c r="O9" i="3"/>
  <c r="O10" i="3"/>
  <c r="O11" i="3"/>
  <c r="O12" i="3"/>
  <c r="O13" i="3"/>
  <c r="O14" i="3"/>
  <c r="O2" i="3"/>
  <c r="N15" i="1"/>
  <c r="O15" i="1" s="1"/>
  <c r="N19" i="1"/>
  <c r="O19" i="1" s="1"/>
  <c r="N23" i="1"/>
  <c r="O23" i="1" s="1"/>
  <c r="N27" i="1"/>
  <c r="O27" i="1" s="1"/>
  <c r="N31" i="1"/>
  <c r="O31" i="1" s="1"/>
  <c r="N35" i="1"/>
  <c r="O35" i="1" s="1"/>
  <c r="N39" i="1"/>
  <c r="O39" i="1" s="1"/>
  <c r="N43" i="1"/>
  <c r="O43" i="1" s="1"/>
  <c r="N47" i="1"/>
  <c r="O47" i="1" s="1"/>
  <c r="N51" i="1"/>
  <c r="O51" i="1" s="1"/>
  <c r="N55" i="1"/>
  <c r="O55" i="1" s="1"/>
  <c r="N59" i="1"/>
  <c r="O59" i="1" s="1"/>
  <c r="N63" i="1"/>
  <c r="O63" i="1" s="1"/>
  <c r="N67" i="1"/>
  <c r="O67" i="1" s="1"/>
  <c r="N71" i="1"/>
  <c r="O71" i="1" s="1"/>
  <c r="N75" i="1"/>
  <c r="O75" i="1" s="1"/>
  <c r="N79" i="1"/>
  <c r="O79" i="1" s="1"/>
  <c r="N83" i="1"/>
  <c r="O83" i="1" s="1"/>
  <c r="N87" i="1"/>
  <c r="O87" i="1" s="1"/>
  <c r="N91" i="1"/>
  <c r="O91" i="1" s="1"/>
  <c r="N95" i="1"/>
  <c r="O95" i="1" s="1"/>
  <c r="N99" i="1"/>
  <c r="O99" i="1" s="1"/>
  <c r="N103" i="1"/>
  <c r="O103" i="1" s="1"/>
  <c r="N107" i="1"/>
  <c r="O107" i="1" s="1"/>
  <c r="N111" i="1"/>
  <c r="O111" i="1" s="1"/>
  <c r="N115" i="1"/>
  <c r="O115" i="1" s="1"/>
  <c r="N119" i="1"/>
  <c r="O119" i="1" s="1"/>
  <c r="N123" i="1"/>
  <c r="O123" i="1" s="1"/>
  <c r="N127" i="1"/>
  <c r="O127" i="1" s="1"/>
  <c r="N131" i="1"/>
  <c r="O131" i="1" s="1"/>
  <c r="N135" i="1"/>
  <c r="O135" i="1" s="1"/>
  <c r="N139" i="1"/>
  <c r="O139" i="1" s="1"/>
  <c r="N147" i="1"/>
  <c r="O147" i="1" s="1"/>
  <c r="N151" i="1"/>
  <c r="O151" i="1" s="1"/>
  <c r="N155" i="1"/>
  <c r="O155" i="1" s="1"/>
  <c r="N159" i="1"/>
  <c r="O159" i="1" s="1"/>
  <c r="M24" i="1" l="1"/>
  <c r="M29" i="1"/>
  <c r="M136" i="1"/>
  <c r="M179" i="1"/>
  <c r="M115" i="1"/>
  <c r="M8" i="1"/>
  <c r="M221" i="1"/>
  <c r="M93" i="1"/>
  <c r="M200" i="1"/>
  <c r="M51" i="1"/>
  <c r="M157" i="1"/>
  <c r="M72" i="1"/>
  <c r="X36" i="6"/>
  <c r="X32" i="6"/>
  <c r="X28" i="6"/>
  <c r="X35" i="6"/>
  <c r="X34" i="6"/>
  <c r="X37" i="6"/>
  <c r="X31" i="6"/>
  <c r="X38" i="6"/>
  <c r="X30" i="6"/>
  <c r="X33" i="6"/>
  <c r="X29" i="6"/>
  <c r="M25" i="3"/>
  <c r="M237" i="1"/>
  <c r="M216" i="1"/>
  <c r="M195" i="1"/>
  <c r="M173" i="1"/>
  <c r="M152" i="1"/>
  <c r="M131" i="1"/>
  <c r="M109" i="1"/>
  <c r="M88" i="1"/>
  <c r="M67" i="1"/>
  <c r="M45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M94" i="1"/>
  <c r="M98" i="1"/>
  <c r="M102" i="1"/>
  <c r="M106" i="1"/>
  <c r="M110" i="1"/>
  <c r="M114" i="1"/>
  <c r="M118" i="1"/>
  <c r="M122" i="1"/>
  <c r="M126" i="1"/>
  <c r="M130" i="1"/>
  <c r="M134" i="1"/>
  <c r="M138" i="1"/>
  <c r="M142" i="1"/>
  <c r="M146" i="1"/>
  <c r="M150" i="1"/>
  <c r="M154" i="1"/>
  <c r="M158" i="1"/>
  <c r="M162" i="1"/>
  <c r="M166" i="1"/>
  <c r="M170" i="1"/>
  <c r="M174" i="1"/>
  <c r="M178" i="1"/>
  <c r="M182" i="1"/>
  <c r="M186" i="1"/>
  <c r="M190" i="1"/>
  <c r="M194" i="1"/>
  <c r="M198" i="1"/>
  <c r="M202" i="1"/>
  <c r="M206" i="1"/>
  <c r="M210" i="1"/>
  <c r="M214" i="1"/>
  <c r="M218" i="1"/>
  <c r="M222" i="1"/>
  <c r="M226" i="1"/>
  <c r="M230" i="1"/>
  <c r="M234" i="1"/>
  <c r="M238" i="1"/>
  <c r="M9" i="1"/>
  <c r="M15" i="1"/>
  <c r="M20" i="1"/>
  <c r="M25" i="1"/>
  <c r="M31" i="1"/>
  <c r="M36" i="1"/>
  <c r="M41" i="1"/>
  <c r="M47" i="1"/>
  <c r="M52" i="1"/>
  <c r="M57" i="1"/>
  <c r="M63" i="1"/>
  <c r="M68" i="1"/>
  <c r="M73" i="1"/>
  <c r="M79" i="1"/>
  <c r="M84" i="1"/>
  <c r="M89" i="1"/>
  <c r="M95" i="1"/>
  <c r="M100" i="1"/>
  <c r="M105" i="1"/>
  <c r="M111" i="1"/>
  <c r="M116" i="1"/>
  <c r="M121" i="1"/>
  <c r="M127" i="1"/>
  <c r="M132" i="1"/>
  <c r="M137" i="1"/>
  <c r="M143" i="1"/>
  <c r="M148" i="1"/>
  <c r="M153" i="1"/>
  <c r="M159" i="1"/>
  <c r="M164" i="1"/>
  <c r="M169" i="1"/>
  <c r="M175" i="1"/>
  <c r="M180" i="1"/>
  <c r="M185" i="1"/>
  <c r="M191" i="1"/>
  <c r="M196" i="1"/>
  <c r="M201" i="1"/>
  <c r="M207" i="1"/>
  <c r="M212" i="1"/>
  <c r="M217" i="1"/>
  <c r="M223" i="1"/>
  <c r="M228" i="1"/>
  <c r="M233" i="1"/>
  <c r="M239" i="1"/>
  <c r="M11" i="1"/>
  <c r="M16" i="1"/>
  <c r="M21" i="1"/>
  <c r="M27" i="1"/>
  <c r="M32" i="1"/>
  <c r="M37" i="1"/>
  <c r="M43" i="1"/>
  <c r="M48" i="1"/>
  <c r="M53" i="1"/>
  <c r="M59" i="1"/>
  <c r="M64" i="1"/>
  <c r="M69" i="1"/>
  <c r="M75" i="1"/>
  <c r="M80" i="1"/>
  <c r="M85" i="1"/>
  <c r="M91" i="1"/>
  <c r="M96" i="1"/>
  <c r="M101" i="1"/>
  <c r="M107" i="1"/>
  <c r="M112" i="1"/>
  <c r="M117" i="1"/>
  <c r="M123" i="1"/>
  <c r="M128" i="1"/>
  <c r="M133" i="1"/>
  <c r="M139" i="1"/>
  <c r="M144" i="1"/>
  <c r="M149" i="1"/>
  <c r="M155" i="1"/>
  <c r="M160" i="1"/>
  <c r="M165" i="1"/>
  <c r="M171" i="1"/>
  <c r="M176" i="1"/>
  <c r="M181" i="1"/>
  <c r="M187" i="1"/>
  <c r="M192" i="1"/>
  <c r="M197" i="1"/>
  <c r="M203" i="1"/>
  <c r="M208" i="1"/>
  <c r="M213" i="1"/>
  <c r="M219" i="1"/>
  <c r="M224" i="1"/>
  <c r="M229" i="1"/>
  <c r="M235" i="1"/>
  <c r="M240" i="1"/>
  <c r="M12" i="1"/>
  <c r="M17" i="1"/>
  <c r="M28" i="1"/>
  <c r="M33" i="1"/>
  <c r="M39" i="1"/>
  <c r="M44" i="1"/>
  <c r="M49" i="1"/>
  <c r="M55" i="1"/>
  <c r="M60" i="1"/>
  <c r="M65" i="1"/>
  <c r="M76" i="1"/>
  <c r="M81" i="1"/>
  <c r="M92" i="1"/>
  <c r="M97" i="1"/>
  <c r="M108" i="1"/>
  <c r="M119" i="1"/>
  <c r="M129" i="1"/>
  <c r="M140" i="1"/>
  <c r="M151" i="1"/>
  <c r="M161" i="1"/>
  <c r="M167" i="1"/>
  <c r="M177" i="1"/>
  <c r="M188" i="1"/>
  <c r="M199" i="1"/>
  <c r="M209" i="1"/>
  <c r="M220" i="1"/>
  <c r="M231" i="1"/>
  <c r="M23" i="1"/>
  <c r="M71" i="1"/>
  <c r="M87" i="1"/>
  <c r="M103" i="1"/>
  <c r="M113" i="1"/>
  <c r="M124" i="1"/>
  <c r="M135" i="1"/>
  <c r="M145" i="1"/>
  <c r="M156" i="1"/>
  <c r="M172" i="1"/>
  <c r="M183" i="1"/>
  <c r="M193" i="1"/>
  <c r="M204" i="1"/>
  <c r="M215" i="1"/>
  <c r="M225" i="1"/>
  <c r="M236" i="1"/>
  <c r="M232" i="1"/>
  <c r="M211" i="1"/>
  <c r="M189" i="1"/>
  <c r="M168" i="1"/>
  <c r="M147" i="1"/>
  <c r="M125" i="1"/>
  <c r="M104" i="1"/>
  <c r="M83" i="1"/>
  <c r="M61" i="1"/>
  <c r="M40" i="1"/>
  <c r="M19" i="1"/>
  <c r="M227" i="1"/>
  <c r="M205" i="1"/>
  <c r="M184" i="1"/>
  <c r="M163" i="1"/>
  <c r="M141" i="1"/>
  <c r="M120" i="1"/>
  <c r="M99" i="1"/>
  <c r="M77" i="1"/>
  <c r="M56" i="1"/>
  <c r="M35" i="1"/>
  <c r="M13" i="1"/>
  <c r="AE24" i="3"/>
  <c r="AF25" i="3"/>
  <c r="F27" i="4" s="1"/>
  <c r="AD27" i="3"/>
  <c r="F32" i="6" s="1"/>
  <c r="G32" i="6" s="1"/>
  <c r="AE28" i="3"/>
  <c r="E28" i="4" s="1"/>
  <c r="AF29" i="3"/>
  <c r="F33" i="4" s="1"/>
  <c r="AD31" i="3"/>
  <c r="F36" i="6" s="1"/>
  <c r="G36" i="6" s="1"/>
  <c r="AE32" i="3"/>
  <c r="AF33" i="3"/>
  <c r="F26" i="4" s="1"/>
  <c r="AD35" i="3"/>
  <c r="K24" i="3"/>
  <c r="O29" i="6"/>
  <c r="U29" i="6"/>
  <c r="U33" i="6"/>
  <c r="U37" i="6"/>
  <c r="U36" i="6"/>
  <c r="U30" i="6"/>
  <c r="U34" i="6"/>
  <c r="U38" i="6"/>
  <c r="U32" i="6"/>
  <c r="U31" i="6"/>
  <c r="U35" i="6"/>
  <c r="U28" i="6"/>
  <c r="F3" i="4"/>
  <c r="M24" i="3"/>
  <c r="K25" i="3"/>
  <c r="AF24" i="3"/>
  <c r="AD26" i="3"/>
  <c r="F31" i="6" s="1"/>
  <c r="G31" i="6" s="1"/>
  <c r="AE27" i="3"/>
  <c r="E30" i="4" s="1"/>
  <c r="AF28" i="3"/>
  <c r="L33" i="6" s="1"/>
  <c r="AD30" i="3"/>
  <c r="F35" i="6" s="1"/>
  <c r="G35" i="6" s="1"/>
  <c r="AE31" i="3"/>
  <c r="I36" i="6" s="1"/>
  <c r="AF32" i="3"/>
  <c r="F25" i="4" s="1"/>
  <c r="AD34" i="3"/>
  <c r="AE35" i="3"/>
  <c r="AD25" i="3"/>
  <c r="F30" i="6" s="1"/>
  <c r="G30" i="6" s="1"/>
  <c r="AE26" i="3"/>
  <c r="E32" i="4" s="1"/>
  <c r="AF27" i="3"/>
  <c r="L32" i="6" s="1"/>
  <c r="AD29" i="3"/>
  <c r="F34" i="6" s="1"/>
  <c r="G34" i="6" s="1"/>
  <c r="AE30" i="3"/>
  <c r="E23" i="4" s="1"/>
  <c r="AF31" i="3"/>
  <c r="L36" i="6" s="1"/>
  <c r="AD33" i="3"/>
  <c r="F38" i="6" s="1"/>
  <c r="G38" i="6" s="1"/>
  <c r="AE34" i="3"/>
  <c r="AF35" i="3"/>
  <c r="J24" i="3"/>
  <c r="L24" i="3"/>
  <c r="AD24" i="3"/>
  <c r="F29" i="6" s="1"/>
  <c r="G29" i="6" s="1"/>
  <c r="AE25" i="3"/>
  <c r="AF26" i="3"/>
  <c r="F32" i="4" s="1"/>
  <c r="AD28" i="3"/>
  <c r="F33" i="6" s="1"/>
  <c r="G33" i="6" s="1"/>
  <c r="AE29" i="3"/>
  <c r="E33" i="4" s="1"/>
  <c r="AF30" i="3"/>
  <c r="F23" i="4" s="1"/>
  <c r="AD32" i="3"/>
  <c r="D25" i="4" s="1"/>
  <c r="AE33" i="3"/>
  <c r="E26" i="4" s="1"/>
  <c r="AF34" i="3"/>
  <c r="J25" i="3"/>
  <c r="L25" i="3"/>
  <c r="D26" i="4"/>
  <c r="E31" i="4"/>
  <c r="D30" i="4"/>
  <c r="R29" i="6"/>
  <c r="R32" i="6"/>
  <c r="R36" i="6"/>
  <c r="O32" i="6"/>
  <c r="O36" i="6"/>
  <c r="R34" i="6"/>
  <c r="O30" i="6"/>
  <c r="O38" i="6"/>
  <c r="R35" i="6"/>
  <c r="O31" i="6"/>
  <c r="O28" i="6"/>
  <c r="I37" i="6"/>
  <c r="R33" i="6"/>
  <c r="R37" i="6"/>
  <c r="O33" i="6"/>
  <c r="O37" i="6"/>
  <c r="R30" i="6"/>
  <c r="R38" i="6"/>
  <c r="O34" i="6"/>
  <c r="L30" i="6"/>
  <c r="R31" i="6"/>
  <c r="R28" i="6"/>
  <c r="O35" i="6"/>
  <c r="D31" i="4"/>
  <c r="F29" i="4"/>
  <c r="E29" i="4"/>
  <c r="E25" i="4"/>
  <c r="F31" i="4"/>
  <c r="D29" i="4"/>
  <c r="E16" i="4"/>
  <c r="F35" i="4"/>
  <c r="D3" i="4"/>
  <c r="D35" i="4"/>
  <c r="F16" i="4"/>
  <c r="G43" i="4"/>
  <c r="D16" i="4"/>
  <c r="G17" i="4"/>
  <c r="E3" i="4"/>
  <c r="E35" i="4"/>
  <c r="G20" i="4"/>
  <c r="F57" i="4"/>
  <c r="D57" i="4"/>
  <c r="E57" i="4"/>
  <c r="N145" i="1"/>
  <c r="O145" i="1" s="1"/>
  <c r="N122" i="1"/>
  <c r="O122" i="1" s="1"/>
  <c r="N94" i="1"/>
  <c r="O94" i="1" s="1"/>
  <c r="N82" i="1"/>
  <c r="O82" i="1" s="1"/>
  <c r="N58" i="1"/>
  <c r="O58" i="1" s="1"/>
  <c r="N46" i="1"/>
  <c r="O46" i="1" s="1"/>
  <c r="N34" i="1"/>
  <c r="O34" i="1" s="1"/>
  <c r="N26" i="1"/>
  <c r="O26" i="1" s="1"/>
  <c r="N14" i="1"/>
  <c r="O14" i="1" s="1"/>
  <c r="N143" i="1"/>
  <c r="O143" i="1" s="1"/>
  <c r="N140" i="1"/>
  <c r="O140" i="1" s="1"/>
  <c r="N136" i="1"/>
  <c r="O136" i="1" s="1"/>
  <c r="N132" i="1"/>
  <c r="O132" i="1" s="1"/>
  <c r="N128" i="1"/>
  <c r="O128" i="1" s="1"/>
  <c r="N124" i="1"/>
  <c r="O124" i="1" s="1"/>
  <c r="N120" i="1"/>
  <c r="O120" i="1" s="1"/>
  <c r="N116" i="1"/>
  <c r="O116" i="1" s="1"/>
  <c r="N112" i="1"/>
  <c r="O112" i="1" s="1"/>
  <c r="N108" i="1"/>
  <c r="O108" i="1" s="1"/>
  <c r="N104" i="1"/>
  <c r="O104" i="1" s="1"/>
  <c r="N100" i="1"/>
  <c r="O100" i="1" s="1"/>
  <c r="N96" i="1"/>
  <c r="O96" i="1" s="1"/>
  <c r="N92" i="1"/>
  <c r="O92" i="1" s="1"/>
  <c r="N88" i="1"/>
  <c r="O88" i="1" s="1"/>
  <c r="N84" i="1"/>
  <c r="O84" i="1" s="1"/>
  <c r="N80" i="1"/>
  <c r="O80" i="1" s="1"/>
  <c r="N76" i="1"/>
  <c r="O76" i="1" s="1"/>
  <c r="N72" i="1"/>
  <c r="O72" i="1" s="1"/>
  <c r="N68" i="1"/>
  <c r="O68" i="1" s="1"/>
  <c r="N64" i="1"/>
  <c r="O64" i="1" s="1"/>
  <c r="N60" i="1"/>
  <c r="O60" i="1" s="1"/>
  <c r="N56" i="1"/>
  <c r="O56" i="1" s="1"/>
  <c r="N52" i="1"/>
  <c r="O52" i="1" s="1"/>
  <c r="N48" i="1"/>
  <c r="O48" i="1" s="1"/>
  <c r="N44" i="1"/>
  <c r="O44" i="1" s="1"/>
  <c r="N40" i="1"/>
  <c r="O40" i="1" s="1"/>
  <c r="N36" i="1"/>
  <c r="O36" i="1" s="1"/>
  <c r="N32" i="1"/>
  <c r="O32" i="1" s="1"/>
  <c r="N28" i="1"/>
  <c r="O28" i="1" s="1"/>
  <c r="N24" i="1"/>
  <c r="O24" i="1" s="1"/>
  <c r="N20" i="1"/>
  <c r="O20" i="1" s="1"/>
  <c r="N16" i="1"/>
  <c r="O16" i="1" s="1"/>
  <c r="N12" i="1"/>
  <c r="O12" i="1" s="1"/>
  <c r="N8" i="1"/>
  <c r="N157" i="1"/>
  <c r="O157" i="1" s="1"/>
  <c r="N153" i="1"/>
  <c r="O153" i="1" s="1"/>
  <c r="N142" i="1"/>
  <c r="O142" i="1" s="1"/>
  <c r="N134" i="1"/>
  <c r="O134" i="1" s="1"/>
  <c r="N130" i="1"/>
  <c r="O130" i="1" s="1"/>
  <c r="N118" i="1"/>
  <c r="O118" i="1" s="1"/>
  <c r="N114" i="1"/>
  <c r="O114" i="1" s="1"/>
  <c r="N102" i="1"/>
  <c r="O102" i="1" s="1"/>
  <c r="N78" i="1"/>
  <c r="O78" i="1" s="1"/>
  <c r="N70" i="1"/>
  <c r="O70" i="1" s="1"/>
  <c r="N62" i="1"/>
  <c r="O62" i="1" s="1"/>
  <c r="N54" i="1"/>
  <c r="O54" i="1" s="1"/>
  <c r="N42" i="1"/>
  <c r="O42" i="1" s="1"/>
  <c r="N22" i="1"/>
  <c r="O22" i="1" s="1"/>
  <c r="N162" i="1"/>
  <c r="O162" i="1" s="1"/>
  <c r="N158" i="1"/>
  <c r="O158" i="1" s="1"/>
  <c r="N154" i="1"/>
  <c r="O154" i="1" s="1"/>
  <c r="N150" i="1"/>
  <c r="O150" i="1" s="1"/>
  <c r="N146" i="1"/>
  <c r="O146" i="1" s="1"/>
  <c r="N11" i="1"/>
  <c r="O11" i="1" s="1"/>
  <c r="N161" i="1"/>
  <c r="O161" i="1" s="1"/>
  <c r="N149" i="1"/>
  <c r="O149" i="1" s="1"/>
  <c r="N138" i="1"/>
  <c r="O138" i="1" s="1"/>
  <c r="N126" i="1"/>
  <c r="O126" i="1" s="1"/>
  <c r="N110" i="1"/>
  <c r="O110" i="1" s="1"/>
  <c r="N106" i="1"/>
  <c r="O106" i="1" s="1"/>
  <c r="N98" i="1"/>
  <c r="O98" i="1" s="1"/>
  <c r="N90" i="1"/>
  <c r="O90" i="1" s="1"/>
  <c r="N86" i="1"/>
  <c r="N74" i="1"/>
  <c r="O74" i="1" s="1"/>
  <c r="N66" i="1"/>
  <c r="O66" i="1" s="1"/>
  <c r="N50" i="1"/>
  <c r="O50" i="1" s="1"/>
  <c r="N38" i="1"/>
  <c r="O38" i="1" s="1"/>
  <c r="N30" i="1"/>
  <c r="O30" i="1" s="1"/>
  <c r="N18" i="1"/>
  <c r="O18" i="1" s="1"/>
  <c r="N10" i="1"/>
  <c r="O10" i="1" s="1"/>
  <c r="N160" i="1"/>
  <c r="O160" i="1" s="1"/>
  <c r="N156" i="1"/>
  <c r="O156" i="1" s="1"/>
  <c r="N152" i="1"/>
  <c r="O152" i="1" s="1"/>
  <c r="N148" i="1"/>
  <c r="O148" i="1" s="1"/>
  <c r="N144" i="1"/>
  <c r="O144" i="1" s="1"/>
  <c r="N141" i="1"/>
  <c r="O141" i="1" s="1"/>
  <c r="N137" i="1"/>
  <c r="O137" i="1" s="1"/>
  <c r="N133" i="1"/>
  <c r="O133" i="1" s="1"/>
  <c r="N129" i="1"/>
  <c r="O129" i="1" s="1"/>
  <c r="N125" i="1"/>
  <c r="O125" i="1" s="1"/>
  <c r="N121" i="1"/>
  <c r="O121" i="1" s="1"/>
  <c r="N117" i="1"/>
  <c r="O117" i="1" s="1"/>
  <c r="N113" i="1"/>
  <c r="O113" i="1" s="1"/>
  <c r="N109" i="1"/>
  <c r="O109" i="1" s="1"/>
  <c r="N105" i="1"/>
  <c r="O105" i="1" s="1"/>
  <c r="N101" i="1"/>
  <c r="O101" i="1" s="1"/>
  <c r="N97" i="1"/>
  <c r="O97" i="1" s="1"/>
  <c r="N93" i="1"/>
  <c r="O93" i="1" s="1"/>
  <c r="N89" i="1"/>
  <c r="O89" i="1" s="1"/>
  <c r="N85" i="1"/>
  <c r="O85" i="1" s="1"/>
  <c r="N81" i="1"/>
  <c r="O81" i="1" s="1"/>
  <c r="N77" i="1"/>
  <c r="O77" i="1" s="1"/>
  <c r="N73" i="1"/>
  <c r="O73" i="1" s="1"/>
  <c r="N69" i="1"/>
  <c r="O69" i="1" s="1"/>
  <c r="N65" i="1"/>
  <c r="O65" i="1" s="1"/>
  <c r="N61" i="1"/>
  <c r="O61" i="1" s="1"/>
  <c r="N57" i="1"/>
  <c r="O57" i="1" s="1"/>
  <c r="N53" i="1"/>
  <c r="O53" i="1" s="1"/>
  <c r="N49" i="1"/>
  <c r="O49" i="1" s="1"/>
  <c r="N45" i="1"/>
  <c r="O45" i="1" s="1"/>
  <c r="N41" i="1"/>
  <c r="O41" i="1" s="1"/>
  <c r="N37" i="1"/>
  <c r="O37" i="1" s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  <c r="N9" i="1"/>
  <c r="O9" i="1" s="1"/>
  <c r="G41" i="4"/>
  <c r="G37" i="4"/>
  <c r="G11" i="4"/>
  <c r="G8" i="4"/>
  <c r="G4" i="4"/>
  <c r="G39" i="4"/>
  <c r="G13" i="4"/>
  <c r="G6" i="4"/>
  <c r="D45" i="4"/>
  <c r="F45" i="4"/>
  <c r="E45" i="4"/>
  <c r="G14" i="4"/>
  <c r="G42" i="4"/>
  <c r="G50" i="4"/>
  <c r="G52" i="4"/>
  <c r="G48" i="4"/>
  <c r="G18" i="4"/>
  <c r="G46" i="4"/>
  <c r="G40" i="4"/>
  <c r="G36" i="4"/>
  <c r="G10" i="4"/>
  <c r="G7" i="4"/>
  <c r="G47" i="4"/>
  <c r="G38" i="4"/>
  <c r="G12" i="4"/>
  <c r="G9" i="4"/>
  <c r="G5" i="4"/>
  <c r="G59" i="4"/>
  <c r="G55" i="4"/>
  <c r="G49" i="4"/>
  <c r="G19" i="4"/>
  <c r="G58" i="4"/>
  <c r="G51" i="4"/>
  <c r="L27" i="3" l="1"/>
  <c r="P86" i="1"/>
  <c r="P87" i="1" s="1"/>
  <c r="O86" i="1"/>
  <c r="I33" i="6"/>
  <c r="AP33" i="6" s="1"/>
  <c r="AQ33" i="6" s="1"/>
  <c r="F37" i="6"/>
  <c r="G37" i="6" s="1"/>
  <c r="AC28" i="3"/>
  <c r="P9" i="1"/>
  <c r="P10" i="1" s="1"/>
  <c r="P11" i="1" s="1"/>
  <c r="P88" i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L31" i="6"/>
  <c r="I31" i="6"/>
  <c r="L37" i="6"/>
  <c r="I32" i="6"/>
  <c r="F30" i="4"/>
  <c r="G30" i="4" s="1"/>
  <c r="D28" i="4"/>
  <c r="L34" i="6"/>
  <c r="J33" i="6"/>
  <c r="M33" i="6" s="1"/>
  <c r="P33" i="6" s="1"/>
  <c r="S33" i="6" s="1"/>
  <c r="V33" i="6" s="1"/>
  <c r="Y33" i="6" s="1"/>
  <c r="AB33" i="6" s="1"/>
  <c r="AE33" i="6" s="1"/>
  <c r="AH33" i="6" s="1"/>
  <c r="AK33" i="6" s="1"/>
  <c r="AN33" i="6" s="1"/>
  <c r="F28" i="4"/>
  <c r="X27" i="6"/>
  <c r="X62" i="6" s="1"/>
  <c r="AC27" i="3"/>
  <c r="P12" i="1"/>
  <c r="P13" i="1" s="1"/>
  <c r="J37" i="6"/>
  <c r="AC26" i="3"/>
  <c r="I30" i="6"/>
  <c r="AC25" i="3"/>
  <c r="P17" i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I38" i="6"/>
  <c r="AC24" i="3"/>
  <c r="AC29" i="3"/>
  <c r="AE23" i="3"/>
  <c r="D23" i="4"/>
  <c r="G23" i="4" s="1"/>
  <c r="AC30" i="3"/>
  <c r="AC31" i="3"/>
  <c r="O8" i="1"/>
  <c r="P8" i="1"/>
  <c r="L35" i="6"/>
  <c r="AC33" i="3"/>
  <c r="AC34" i="3"/>
  <c r="AD23" i="3"/>
  <c r="AC35" i="3"/>
  <c r="I34" i="6"/>
  <c r="AP34" i="6" s="1"/>
  <c r="AQ34" i="6" s="1"/>
  <c r="P14" i="1"/>
  <c r="P15" i="1" s="1"/>
  <c r="P16" i="1" s="1"/>
  <c r="D27" i="4"/>
  <c r="AC32" i="3"/>
  <c r="I35" i="6"/>
  <c r="J35" i="6" s="1"/>
  <c r="U27" i="6"/>
  <c r="U62" i="6" s="1"/>
  <c r="L38" i="6"/>
  <c r="D33" i="4"/>
  <c r="AF23" i="3"/>
  <c r="L28" i="3"/>
  <c r="D32" i="4"/>
  <c r="G32" i="4" s="1"/>
  <c r="E27" i="4"/>
  <c r="I29" i="6"/>
  <c r="J27" i="3"/>
  <c r="J28" i="3" s="1"/>
  <c r="L29" i="6"/>
  <c r="G31" i="4"/>
  <c r="G26" i="4"/>
  <c r="AP36" i="6"/>
  <c r="AQ36" i="6" s="1"/>
  <c r="G25" i="4"/>
  <c r="R27" i="6"/>
  <c r="R62" i="6" s="1"/>
  <c r="G29" i="4"/>
  <c r="O27" i="6"/>
  <c r="O62" i="6" s="1"/>
  <c r="J36" i="6"/>
  <c r="M36" i="6" s="1"/>
  <c r="P36" i="6" s="1"/>
  <c r="S36" i="6" s="1"/>
  <c r="V36" i="6" s="1"/>
  <c r="Y36" i="6" s="1"/>
  <c r="AB36" i="6" s="1"/>
  <c r="AE36" i="6" s="1"/>
  <c r="AH36" i="6" s="1"/>
  <c r="AK36" i="6" s="1"/>
  <c r="AN36" i="6" s="1"/>
  <c r="G35" i="4"/>
  <c r="H43" i="4" s="1"/>
  <c r="G3" i="4"/>
  <c r="H4" i="4" s="1"/>
  <c r="G16" i="4"/>
  <c r="H20" i="4" s="1"/>
  <c r="G54" i="4"/>
  <c r="H55" i="4" s="1"/>
  <c r="N235" i="1"/>
  <c r="O235" i="1" s="1"/>
  <c r="N223" i="1"/>
  <c r="O223" i="1" s="1"/>
  <c r="N215" i="1"/>
  <c r="O215" i="1" s="1"/>
  <c r="N203" i="1"/>
  <c r="O203" i="1" s="1"/>
  <c r="N195" i="1"/>
  <c r="O195" i="1" s="1"/>
  <c r="N179" i="1"/>
  <c r="O179" i="1" s="1"/>
  <c r="N175" i="1"/>
  <c r="O175" i="1" s="1"/>
  <c r="N167" i="1"/>
  <c r="O167" i="1" s="1"/>
  <c r="N238" i="1"/>
  <c r="O238" i="1" s="1"/>
  <c r="N222" i="1"/>
  <c r="O222" i="1" s="1"/>
  <c r="N210" i="1"/>
  <c r="O210" i="1" s="1"/>
  <c r="N198" i="1"/>
  <c r="O198" i="1" s="1"/>
  <c r="N190" i="1"/>
  <c r="O190" i="1" s="1"/>
  <c r="N178" i="1"/>
  <c r="O178" i="1" s="1"/>
  <c r="N166" i="1"/>
  <c r="O166" i="1" s="1"/>
  <c r="N239" i="1"/>
  <c r="O239" i="1" s="1"/>
  <c r="N231" i="1"/>
  <c r="O231" i="1" s="1"/>
  <c r="N219" i="1"/>
  <c r="O219" i="1" s="1"/>
  <c r="N207" i="1"/>
  <c r="O207" i="1" s="1"/>
  <c r="N199" i="1"/>
  <c r="O199" i="1" s="1"/>
  <c r="N191" i="1"/>
  <c r="O191" i="1" s="1"/>
  <c r="N183" i="1"/>
  <c r="O183" i="1" s="1"/>
  <c r="N171" i="1"/>
  <c r="O171" i="1" s="1"/>
  <c r="N234" i="1"/>
  <c r="O234" i="1" s="1"/>
  <c r="N230" i="1"/>
  <c r="O230" i="1" s="1"/>
  <c r="N226" i="1"/>
  <c r="O226" i="1" s="1"/>
  <c r="N218" i="1"/>
  <c r="O218" i="1" s="1"/>
  <c r="N214" i="1"/>
  <c r="O214" i="1" s="1"/>
  <c r="N206" i="1"/>
  <c r="O206" i="1" s="1"/>
  <c r="N202" i="1"/>
  <c r="O202" i="1" s="1"/>
  <c r="N194" i="1"/>
  <c r="O194" i="1" s="1"/>
  <c r="N186" i="1"/>
  <c r="O186" i="1" s="1"/>
  <c r="N182" i="1"/>
  <c r="O182" i="1" s="1"/>
  <c r="N174" i="1"/>
  <c r="O174" i="1" s="1"/>
  <c r="N170" i="1"/>
  <c r="O170" i="1" s="1"/>
  <c r="N237" i="1"/>
  <c r="O237" i="1" s="1"/>
  <c r="N233" i="1"/>
  <c r="O233" i="1" s="1"/>
  <c r="N229" i="1"/>
  <c r="O229" i="1" s="1"/>
  <c r="N225" i="1"/>
  <c r="O225" i="1" s="1"/>
  <c r="N221" i="1"/>
  <c r="O221" i="1" s="1"/>
  <c r="N217" i="1"/>
  <c r="O217" i="1" s="1"/>
  <c r="N213" i="1"/>
  <c r="O213" i="1" s="1"/>
  <c r="N209" i="1"/>
  <c r="O209" i="1" s="1"/>
  <c r="N205" i="1"/>
  <c r="O205" i="1" s="1"/>
  <c r="N201" i="1"/>
  <c r="O201" i="1" s="1"/>
  <c r="N197" i="1"/>
  <c r="O197" i="1" s="1"/>
  <c r="N193" i="1"/>
  <c r="O193" i="1" s="1"/>
  <c r="N189" i="1"/>
  <c r="O189" i="1" s="1"/>
  <c r="N185" i="1"/>
  <c r="O185" i="1" s="1"/>
  <c r="N181" i="1"/>
  <c r="O181" i="1" s="1"/>
  <c r="N177" i="1"/>
  <c r="O177" i="1" s="1"/>
  <c r="N173" i="1"/>
  <c r="O173" i="1" s="1"/>
  <c r="N169" i="1"/>
  <c r="O169" i="1" s="1"/>
  <c r="N165" i="1"/>
  <c r="O165" i="1" s="1"/>
  <c r="N227" i="1"/>
  <c r="O227" i="1" s="1"/>
  <c r="N211" i="1"/>
  <c r="O211" i="1" s="1"/>
  <c r="N187" i="1"/>
  <c r="O187" i="1" s="1"/>
  <c r="N163" i="1"/>
  <c r="O163" i="1" s="1"/>
  <c r="N240" i="1"/>
  <c r="O240" i="1" s="1"/>
  <c r="N236" i="1"/>
  <c r="O236" i="1" s="1"/>
  <c r="N232" i="1"/>
  <c r="O232" i="1" s="1"/>
  <c r="N228" i="1"/>
  <c r="O228" i="1" s="1"/>
  <c r="N224" i="1"/>
  <c r="O224" i="1" s="1"/>
  <c r="N220" i="1"/>
  <c r="O220" i="1" s="1"/>
  <c r="N216" i="1"/>
  <c r="O216" i="1" s="1"/>
  <c r="N212" i="1"/>
  <c r="O212" i="1" s="1"/>
  <c r="N208" i="1"/>
  <c r="O208" i="1" s="1"/>
  <c r="N204" i="1"/>
  <c r="O204" i="1" s="1"/>
  <c r="N200" i="1"/>
  <c r="O200" i="1" s="1"/>
  <c r="N196" i="1"/>
  <c r="O196" i="1" s="1"/>
  <c r="N192" i="1"/>
  <c r="O192" i="1" s="1"/>
  <c r="N188" i="1"/>
  <c r="O188" i="1" s="1"/>
  <c r="N184" i="1"/>
  <c r="O184" i="1" s="1"/>
  <c r="N180" i="1"/>
  <c r="O180" i="1" s="1"/>
  <c r="N176" i="1"/>
  <c r="O176" i="1" s="1"/>
  <c r="N172" i="1"/>
  <c r="O172" i="1" s="1"/>
  <c r="N168" i="1"/>
  <c r="O168" i="1" s="1"/>
  <c r="N164" i="1"/>
  <c r="O164" i="1" s="1"/>
  <c r="G57" i="4"/>
  <c r="H59" i="4" s="1"/>
  <c r="G45" i="4"/>
  <c r="H50" i="4" s="1"/>
  <c r="D24" i="4" l="1"/>
  <c r="D22" i="4" s="1"/>
  <c r="D61" i="4" s="1"/>
  <c r="F28" i="6"/>
  <c r="P163" i="1"/>
  <c r="J31" i="6"/>
  <c r="M31" i="6" s="1"/>
  <c r="P31" i="6" s="1"/>
  <c r="S31" i="6" s="1"/>
  <c r="V31" i="6" s="1"/>
  <c r="Y31" i="6" s="1"/>
  <c r="AB31" i="6" s="1"/>
  <c r="AE31" i="6" s="1"/>
  <c r="AH31" i="6" s="1"/>
  <c r="AK31" i="6" s="1"/>
  <c r="AN31" i="6" s="1"/>
  <c r="J32" i="6"/>
  <c r="M32" i="6" s="1"/>
  <c r="P32" i="6" s="1"/>
  <c r="S32" i="6" s="1"/>
  <c r="V32" i="6" s="1"/>
  <c r="Y32" i="6" s="1"/>
  <c r="AB32" i="6" s="1"/>
  <c r="AE32" i="6" s="1"/>
  <c r="AH32" i="6" s="1"/>
  <c r="AK32" i="6" s="1"/>
  <c r="AN32" i="6" s="1"/>
  <c r="M37" i="6"/>
  <c r="P37" i="6" s="1"/>
  <c r="S37" i="6" s="1"/>
  <c r="V37" i="6" s="1"/>
  <c r="Y37" i="6" s="1"/>
  <c r="AB37" i="6" s="1"/>
  <c r="AE37" i="6" s="1"/>
  <c r="AH37" i="6" s="1"/>
  <c r="AK37" i="6" s="1"/>
  <c r="AN37" i="6" s="1"/>
  <c r="G28" i="4"/>
  <c r="J30" i="6"/>
  <c r="M30" i="6" s="1"/>
  <c r="P30" i="6" s="1"/>
  <c r="S30" i="6" s="1"/>
  <c r="V30" i="6" s="1"/>
  <c r="Y30" i="6" s="1"/>
  <c r="AB30" i="6" s="1"/>
  <c r="AE30" i="6" s="1"/>
  <c r="AH30" i="6" s="1"/>
  <c r="AK30" i="6" s="1"/>
  <c r="AN30" i="6" s="1"/>
  <c r="M35" i="6"/>
  <c r="P35" i="6" s="1"/>
  <c r="S35" i="6" s="1"/>
  <c r="V35" i="6" s="1"/>
  <c r="Y35" i="6" s="1"/>
  <c r="AB35" i="6" s="1"/>
  <c r="AE35" i="6" s="1"/>
  <c r="AH35" i="6" s="1"/>
  <c r="AK35" i="6" s="1"/>
  <c r="AN35" i="6" s="1"/>
  <c r="J34" i="6"/>
  <c r="M34" i="6" s="1"/>
  <c r="P34" i="6" s="1"/>
  <c r="S34" i="6" s="1"/>
  <c r="V34" i="6" s="1"/>
  <c r="Y34" i="6" s="1"/>
  <c r="AB34" i="6" s="1"/>
  <c r="AE34" i="6" s="1"/>
  <c r="AH34" i="6" s="1"/>
  <c r="AK34" i="6" s="1"/>
  <c r="AN34" i="6" s="1"/>
  <c r="AP31" i="6"/>
  <c r="AQ31" i="6" s="1"/>
  <c r="AP30" i="6"/>
  <c r="AQ30" i="6" s="1"/>
  <c r="AP32" i="6"/>
  <c r="AQ32" i="6" s="1"/>
  <c r="AP35" i="6"/>
  <c r="AQ35" i="6" s="1"/>
  <c r="J38" i="6"/>
  <c r="M38" i="6" s="1"/>
  <c r="P38" i="6" s="1"/>
  <c r="S38" i="6" s="1"/>
  <c r="V38" i="6" s="1"/>
  <c r="Y38" i="6" s="1"/>
  <c r="AB38" i="6" s="1"/>
  <c r="AE38" i="6" s="1"/>
  <c r="AH38" i="6" s="1"/>
  <c r="AK38" i="6" s="1"/>
  <c r="AN38" i="6" s="1"/>
  <c r="AP37" i="6"/>
  <c r="AQ37" i="6" s="1"/>
  <c r="G27" i="4"/>
  <c r="AP38" i="6"/>
  <c r="AQ38" i="6" s="1"/>
  <c r="AC23" i="3"/>
  <c r="P164" i="1"/>
  <c r="P165" i="1" s="1"/>
  <c r="F24" i="4"/>
  <c r="F22" i="4" s="1"/>
  <c r="F61" i="4" s="1"/>
  <c r="L28" i="6"/>
  <c r="L27" i="6" s="1"/>
  <c r="L62" i="6" s="1"/>
  <c r="P166" i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E24" i="4"/>
  <c r="I28" i="6"/>
  <c r="J29" i="6"/>
  <c r="M29" i="6" s="1"/>
  <c r="P29" i="6" s="1"/>
  <c r="S29" i="6" s="1"/>
  <c r="V29" i="6" s="1"/>
  <c r="Y29" i="6" s="1"/>
  <c r="AB29" i="6" s="1"/>
  <c r="AE29" i="6" s="1"/>
  <c r="AH29" i="6" s="1"/>
  <c r="AK29" i="6" s="1"/>
  <c r="AN29" i="6" s="1"/>
  <c r="AP29" i="6"/>
  <c r="AQ29" i="6" s="1"/>
  <c r="G33" i="4"/>
  <c r="M6" i="9"/>
  <c r="M10" i="9" s="1"/>
  <c r="H46" i="4"/>
  <c r="H9" i="4"/>
  <c r="H38" i="4"/>
  <c r="H41" i="4"/>
  <c r="H5" i="4"/>
  <c r="H52" i="4"/>
  <c r="H39" i="4"/>
  <c r="H51" i="4"/>
  <c r="H48" i="4"/>
  <c r="H58" i="4"/>
  <c r="H17" i="4"/>
  <c r="H18" i="4"/>
  <c r="H47" i="4"/>
  <c r="H49" i="4"/>
  <c r="H37" i="4"/>
  <c r="H36" i="4"/>
  <c r="H40" i="4"/>
  <c r="H42" i="4"/>
  <c r="H19" i="4"/>
  <c r="H7" i="4"/>
  <c r="H11" i="4"/>
  <c r="H13" i="4"/>
  <c r="H10" i="4"/>
  <c r="H6" i="4"/>
  <c r="H8" i="4"/>
  <c r="H12" i="4"/>
  <c r="H14" i="4"/>
  <c r="F27" i="6" l="1"/>
  <c r="G28" i="6"/>
  <c r="N9" i="9"/>
  <c r="N3" i="9"/>
  <c r="AP28" i="6"/>
  <c r="AQ28" i="6" s="1"/>
  <c r="J28" i="6"/>
  <c r="M28" i="6" s="1"/>
  <c r="P28" i="6" s="1"/>
  <c r="S28" i="6" s="1"/>
  <c r="V28" i="6" s="1"/>
  <c r="Y28" i="6" s="1"/>
  <c r="AB28" i="6" s="1"/>
  <c r="AE28" i="6" s="1"/>
  <c r="AH28" i="6" s="1"/>
  <c r="AK28" i="6" s="1"/>
  <c r="AN28" i="6" s="1"/>
  <c r="I27" i="6"/>
  <c r="I62" i="6" s="1"/>
  <c r="E22" i="4"/>
  <c r="E61" i="4" s="1"/>
  <c r="G24" i="4"/>
  <c r="G22" i="4" s="1"/>
  <c r="H30" i="4" s="1"/>
  <c r="N8" i="9"/>
  <c r="N6" i="9"/>
  <c r="N5" i="9"/>
  <c r="N7" i="9"/>
  <c r="N4" i="9"/>
  <c r="G27" i="6" l="1"/>
  <c r="F62" i="6"/>
  <c r="H29" i="4"/>
  <c r="H27" i="4"/>
  <c r="H23" i="4"/>
  <c r="H32" i="4"/>
  <c r="H24" i="4"/>
  <c r="AP27" i="6"/>
  <c r="AP62" i="6" s="1"/>
  <c r="H33" i="4"/>
  <c r="J27" i="6"/>
  <c r="J62" i="6" s="1"/>
  <c r="H31" i="4"/>
  <c r="H25" i="4"/>
  <c r="H26" i="4"/>
  <c r="G61" i="4"/>
  <c r="H54" i="4" s="1"/>
  <c r="H28" i="4"/>
  <c r="AQ27" i="6" l="1"/>
  <c r="AQ62" i="6" s="1"/>
  <c r="H16" i="4"/>
  <c r="H22" i="4"/>
  <c r="H57" i="4"/>
  <c r="H3" i="4"/>
  <c r="H35" i="4"/>
  <c r="H45" i="4"/>
  <c r="M27" i="6"/>
  <c r="M62" i="6" s="1"/>
  <c r="P27" i="6" l="1"/>
  <c r="P62" i="6" s="1"/>
  <c r="S27" i="6" l="1"/>
  <c r="S62" i="6" s="1"/>
  <c r="V27" i="6" l="1"/>
  <c r="V62" i="6" s="1"/>
  <c r="Y27" i="6" l="1"/>
  <c r="Y62" i="6" s="1"/>
  <c r="AB27" i="6" l="1"/>
  <c r="AB62" i="6" s="1"/>
  <c r="AE27" i="6" l="1"/>
  <c r="AE62" i="6" s="1"/>
  <c r="AH27" i="6" l="1"/>
  <c r="AH62" i="6" s="1"/>
  <c r="AK27" i="6" l="1"/>
  <c r="AK62" i="6" s="1"/>
  <c r="AN27" i="6" l="1"/>
  <c r="AN62" i="6" s="1"/>
</calcChain>
</file>

<file path=xl/comments1.xml><?xml version="1.0" encoding="utf-8"?>
<comments xmlns="http://schemas.openxmlformats.org/spreadsheetml/2006/main">
  <authors>
    <author>Tiago Sossai Rigo</author>
  </authors>
  <commentList>
    <comment ref="B14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14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14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14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G14" authorId="0" shapeId="0">
      <text>
        <r>
          <rPr>
            <b/>
            <u/>
            <sz val="9"/>
            <color indexed="81"/>
            <rFont val="Segoe UI"/>
            <family val="2"/>
          </rPr>
          <t>Exemplo de descrição da metodologia para chegar no valor:</t>
        </r>
        <r>
          <rPr>
            <sz val="9"/>
            <color indexed="81"/>
            <rFont val="Segoe UI"/>
            <charset val="1"/>
          </rPr>
          <t xml:space="preserve"> São 2 postos de tralhalho no valor Unitário de R$ 2.800,00 para o periodo de 12 meses.</t>
        </r>
      </text>
    </comment>
    <comment ref="B15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15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15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15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16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16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16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17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18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18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18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18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19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19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0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0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0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0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1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1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1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1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1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2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2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3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3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4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4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4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5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5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5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5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6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6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6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6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6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7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7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7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7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8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8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8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29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29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29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0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0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1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1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1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1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2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2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2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2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3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3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3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4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4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4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5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5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5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5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5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6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6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6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6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7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7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7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7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8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8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8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39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39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40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40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40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41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41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41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C42" authorId="0" shapeId="0">
      <text>
        <r>
          <rPr>
            <b/>
            <sz val="9"/>
            <color indexed="81"/>
            <rFont val="Segoe UI"/>
            <family val="2"/>
          </rPr>
          <t>&lt;=Selecione aqui!</t>
        </r>
      </text>
    </comment>
    <comment ref="D42" authorId="0" shapeId="0">
      <text>
        <r>
          <rPr>
            <b/>
            <sz val="9"/>
            <color indexed="81"/>
            <rFont val="Segoe UI"/>
            <family val="2"/>
          </rPr>
          <t>&lt;= Descreva a despesa pretendida!</t>
        </r>
      </text>
    </comment>
    <comment ref="E42" authorId="0" shapeId="0">
      <text>
        <r>
          <rPr>
            <b/>
            <sz val="9"/>
            <color indexed="81"/>
            <rFont val="Segoe UI"/>
            <family val="2"/>
          </rPr>
          <t>&lt;= Informe o Valor Estimado sempre arredondando para mais!</t>
        </r>
      </text>
    </comment>
    <comment ref="F42" authorId="0" shapeId="0">
      <text>
        <r>
          <rPr>
            <sz val="9"/>
            <color indexed="81"/>
            <rFont val="Segoe UI"/>
            <charset val="1"/>
          </rPr>
          <t xml:space="preserve">RECURSOS DE CAPITADO DE ENSINO E PESQUISA DEVER SER AUTORIZADO PELO </t>
        </r>
        <r>
          <rPr>
            <b/>
            <sz val="9"/>
            <color indexed="81"/>
            <rFont val="Segoe UI"/>
            <family val="2"/>
          </rPr>
          <t>DIRASSIST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<sst xmlns="http://schemas.openxmlformats.org/spreadsheetml/2006/main" count="8370" uniqueCount="3319">
  <si>
    <t>Total</t>
  </si>
  <si>
    <t>%</t>
  </si>
  <si>
    <t>PESSOAL E ENCARGOS</t>
  </si>
  <si>
    <t>PROVISÕES TRABALHISTAS</t>
  </si>
  <si>
    <t>MATERIAL DE CONSUMO</t>
  </si>
  <si>
    <t>SERVICOS DE TERCEIROS</t>
  </si>
  <si>
    <t>INVESTIMENTO</t>
  </si>
  <si>
    <t>TOTAL</t>
  </si>
  <si>
    <t>Grupo</t>
  </si>
  <si>
    <t>Descrição</t>
  </si>
  <si>
    <t>CONTRIBUICAO PATRONAL - INSS</t>
  </si>
  <si>
    <t>CONTRIBUICOES AO FGTS</t>
  </si>
  <si>
    <t>CONTRIBUICOES AO PIS</t>
  </si>
  <si>
    <t>COTA TERCEIROS ( SESC, SENAC, INCRA )</t>
  </si>
  <si>
    <t>GRATIFICACOES</t>
  </si>
  <si>
    <t>ORDENADOS</t>
  </si>
  <si>
    <t>SEGURO ACIDENTE DE TRABALHO</t>
  </si>
  <si>
    <t>VALE REFEICAO</t>
  </si>
  <si>
    <t>VALE TRANSPORTE</t>
  </si>
  <si>
    <t>13 SALARIO</t>
  </si>
  <si>
    <t>FERIAS</t>
  </si>
  <si>
    <t>ENCARGOS SOCIAIS - 13º SALARIO</t>
  </si>
  <si>
    <t>ENCARGOS SOCIAIS - FERIAS</t>
  </si>
  <si>
    <t>INDENIZACAO E AVISOS PREVIOS</t>
  </si>
  <si>
    <t>GENEROS ALIMENTICIOS</t>
  </si>
  <si>
    <t>PRODUTOS DE LIMPEZA/DESCARTAVEL</t>
  </si>
  <si>
    <t>MATERIAIS DE MANUTENCAO</t>
  </si>
  <si>
    <t>IMPRESSOS E MAT. EXPEDIENTE</t>
  </si>
  <si>
    <t>ASSESSORIA EMPRESARIAL E SERVIÇOS ADMINISTRATIVOS</t>
  </si>
  <si>
    <t>LIMPEZA, CONSERVAÇÃO E REMOÇÃO DE LIXO</t>
  </si>
  <si>
    <t>HONORÁRIO CONTÁBIL</t>
  </si>
  <si>
    <t>AGUA</t>
  </si>
  <si>
    <t>ALUGUÉIS DE BENS MÓVEIS, VEÍCULOS E SISTEMAS</t>
  </si>
  <si>
    <t>ALUGUÉIS DE IMÓVEIS</t>
  </si>
  <si>
    <t>CORREIOS E TELEGRAFOS</t>
  </si>
  <si>
    <t>ENERGIA ELETRICA</t>
  </si>
  <si>
    <t>TELEFONE</t>
  </si>
  <si>
    <t>VIAGENS, AJUDA DE CUSTOS E DIARIAS</t>
  </si>
  <si>
    <t>COMISSOES E DESPESAS BANCARIAS</t>
  </si>
  <si>
    <t>ANUNCIOS E PUBLICIDADES</t>
  </si>
  <si>
    <t>JUROS E CORRECAO MONETARIA</t>
  </si>
  <si>
    <t>MULTAS</t>
  </si>
  <si>
    <t>OBRAS E REFORMAS</t>
  </si>
  <si>
    <t>Executado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</si>
  <si>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</si>
  <si>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</si>
  <si>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</si>
  <si>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</si>
  <si>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</si>
  <si>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</si>
  <si>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</si>
  <si>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</si>
  <si>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</si>
  <si>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</si>
  <si>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</si>
  <si>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</si>
  <si>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 E S P E S A S</t>
  </si>
  <si>
    <t>D</t>
  </si>
  <si>
    <t>4.01</t>
  </si>
  <si>
    <t>DESPESAS - SAUDE</t>
  </si>
  <si>
    <t>4.01.01</t>
  </si>
  <si>
    <t>DESPESAS - HOSPITAIS</t>
  </si>
  <si>
    <t>4.01.01.01</t>
  </si>
  <si>
    <t>CUSTOS - SAUDE</t>
  </si>
  <si>
    <t>4.01.01.01.01</t>
  </si>
  <si>
    <t>PESSOAL SERV. PROPRIOS</t>
  </si>
  <si>
    <t>4.01.01.01.01.001</t>
  </si>
  <si>
    <t>4.01.01.01.01.002</t>
  </si>
  <si>
    <t>4.01.01.01.01.003</t>
  </si>
  <si>
    <t>4.01.01.01.01.005</t>
  </si>
  <si>
    <t>4.01.01.01.01.006</t>
  </si>
  <si>
    <t>4.01.01.01.01.007</t>
  </si>
  <si>
    <t>4.01.01.01.01.009</t>
  </si>
  <si>
    <t>4.01.01.01.01.011</t>
  </si>
  <si>
    <t>4.01.01.01.01.015</t>
  </si>
  <si>
    <t>4.01.01.01.01.016</t>
  </si>
  <si>
    <t>4.01.01.01.01.017</t>
  </si>
  <si>
    <t>4.01.01.01.01.018</t>
  </si>
  <si>
    <t>PROV. PARA    CUSTOS DO EXERCICIO</t>
  </si>
  <si>
    <t>MATERIAIS, MEDICAMENTOS E OUTROS</t>
  </si>
  <si>
    <t>EQUIPAMENTOS DE PROTECAO</t>
  </si>
  <si>
    <t>PESSOAL SERVICOS TERCEIROS</t>
  </si>
  <si>
    <t>CONSULTORIA DE SISTEMA DE INFORMÁTICA</t>
  </si>
  <si>
    <t>MANUTENÇÃO DE EQUIPAMENTOS E SISTEMAS</t>
  </si>
  <si>
    <t>IMOBILIZADO</t>
  </si>
  <si>
    <t>ANO</t>
  </si>
  <si>
    <t>Meses</t>
  </si>
  <si>
    <t>Mês</t>
  </si>
  <si>
    <t>Conta</t>
  </si>
  <si>
    <t>Tam Conta</t>
  </si>
  <si>
    <t>Contas</t>
  </si>
  <si>
    <t>Soma de Valor</t>
  </si>
  <si>
    <t>4.01.01.01.02</t>
  </si>
  <si>
    <t>4.01.01.01.02.020</t>
  </si>
  <si>
    <t>4.01.01.01.05</t>
  </si>
  <si>
    <t>GERAIS</t>
  </si>
  <si>
    <t>4.01.01.01.07</t>
  </si>
  <si>
    <t>IMPOSTOS, TAXAS E CONTRIBUICOES</t>
  </si>
  <si>
    <t>4.01.01.01.05.008</t>
  </si>
  <si>
    <t>4.01.01.01.05.052</t>
  </si>
  <si>
    <t>REMUNERACAO DE SERVIDORES CEDIDOS</t>
  </si>
  <si>
    <t>4.01.01.01.05.053</t>
  </si>
  <si>
    <t>CONTRIBUICAO PREVIDENCIARIA S/ SERVIDORES CEDIDOS</t>
  </si>
  <si>
    <t>4.01.01.01.07.007</t>
  </si>
  <si>
    <t>4.01.01.01.06</t>
  </si>
  <si>
    <t>PROV. PARA      CUSTOS DO EXERCICIO</t>
  </si>
  <si>
    <t>4.01.01.01.06.001</t>
  </si>
  <si>
    <t>4.01.01.01.06.002</t>
  </si>
  <si>
    <t>4.01.01.01.06.003</t>
  </si>
  <si>
    <t>4.01.01.01.06.009</t>
  </si>
  <si>
    <t>4.01.01.01.08</t>
  </si>
  <si>
    <t>DESPESAS FINANCEIRAS</t>
  </si>
  <si>
    <t>4.01.01.01.08.001</t>
  </si>
  <si>
    <t>4.01.01.01.02.024</t>
  </si>
  <si>
    <t>Ordem</t>
  </si>
  <si>
    <t>Ano</t>
  </si>
  <si>
    <t>Relação das Despesa</t>
  </si>
  <si>
    <t>Auxilio Estada</t>
  </si>
  <si>
    <t>Cartorio</t>
  </si>
  <si>
    <t>Planisa</t>
  </si>
  <si>
    <t>Banco de Preço</t>
  </si>
  <si>
    <t>Contabilidade e Gestão de Follha</t>
  </si>
  <si>
    <t>Publicação</t>
  </si>
  <si>
    <t>Cargo</t>
  </si>
  <si>
    <t>Nomeclatura</t>
  </si>
  <si>
    <t xml:space="preserve"> QTD</t>
  </si>
  <si>
    <t xml:space="preserve"> Salário Base</t>
  </si>
  <si>
    <t xml:space="preserve"> Salário total</t>
  </si>
  <si>
    <t xml:space="preserve"> Encargos / vantagens</t>
  </si>
  <si>
    <t>Gratificação</t>
  </si>
  <si>
    <t>Refeição</t>
  </si>
  <si>
    <t xml:space="preserve"> Provisões</t>
  </si>
  <si>
    <t xml:space="preserve"> Total</t>
  </si>
  <si>
    <t>Coluna1</t>
  </si>
  <si>
    <t>Coluna2</t>
  </si>
  <si>
    <t>Coluna3</t>
  </si>
  <si>
    <t>Coluna4</t>
  </si>
  <si>
    <t>AAD-I</t>
  </si>
  <si>
    <t>Assistente Administrativo I</t>
  </si>
  <si>
    <t>AG-I</t>
  </si>
  <si>
    <t>Analista de Gestão I</t>
  </si>
  <si>
    <t>AG-II</t>
  </si>
  <si>
    <t>Analista de Gestão II</t>
  </si>
  <si>
    <t>AG-III</t>
  </si>
  <si>
    <t>Analista de Gestão III</t>
  </si>
  <si>
    <t>EP-I</t>
  </si>
  <si>
    <t>Executivo Público I</t>
  </si>
  <si>
    <t>EP-II</t>
  </si>
  <si>
    <t>Executivo Público II</t>
  </si>
  <si>
    <t>GC-I</t>
  </si>
  <si>
    <t>Governança Corporativa I</t>
  </si>
  <si>
    <t>GNJ-I</t>
  </si>
  <si>
    <t>Gestor de Negócio Jurídico I</t>
  </si>
  <si>
    <t>GPJ-I</t>
  </si>
  <si>
    <t>Procurador-Chefe</t>
  </si>
  <si>
    <t>GUT-I</t>
  </si>
  <si>
    <t>Gestor Unidade de Trabalho I</t>
  </si>
  <si>
    <t>GUT-II</t>
  </si>
  <si>
    <t>Gestor Unidade de Trabalho II</t>
  </si>
  <si>
    <t>COTA TERCEIROS ( SESC, SENAC, INCRA</t>
  </si>
  <si>
    <t>UNIFORMES</t>
  </si>
  <si>
    <t>HORAS EXTRAS</t>
  </si>
  <si>
    <t>CENTRO DE MATERIAL ESTERILIZADO</t>
  </si>
  <si>
    <t>DROGAS E MEDICAMENTOS</t>
  </si>
  <si>
    <t>GASES MEDICINAIS</t>
  </si>
  <si>
    <t>MATERIAIS   DE USO DO PACIENTES</t>
  </si>
  <si>
    <t>OPME - ORTESES, PROTESES E MATERIAI</t>
  </si>
  <si>
    <t>ROUPARIA</t>
  </si>
  <si>
    <t>AMBULÂNCIA</t>
  </si>
  <si>
    <t>ASSESSORIA EMPRESARIAL E SERVIÇOS</t>
  </si>
  <si>
    <t>CONSULTORIA DE SISTEMA DE INFORMÁT</t>
  </si>
  <si>
    <t>LAVANDERIA</t>
  </si>
  <si>
    <t>LIMPEZA, CONSERVAÇÃO E REMOÇÃO DE</t>
  </si>
  <si>
    <t>MANUTENÇÃO DE EQUIPAMENTOS E SIST</t>
  </si>
  <si>
    <t>SERVIÇOS TÉCNICOS DE SAÚDE - PJ</t>
  </si>
  <si>
    <t>SERV. MEDICOS PESSOAS JURIDICAS</t>
  </si>
  <si>
    <t>ALUGUÉIS DE BENS MÓVEIS, VEÍCULOS E</t>
  </si>
  <si>
    <t>ALUGUÉIS DE EQUIPAMENTOS MÉDICOS</t>
  </si>
  <si>
    <t>CONTRIB. ASSOCIACAO DE CLASSE</t>
  </si>
  <si>
    <t>SEM CEBAS</t>
  </si>
  <si>
    <t>Verba</t>
  </si>
  <si>
    <t>INSS + RAT + Sist. S</t>
  </si>
  <si>
    <t>FGTS</t>
  </si>
  <si>
    <t>Multa FGTS</t>
  </si>
  <si>
    <t>Encargos s/ multa</t>
  </si>
  <si>
    <t>1/3 de férias</t>
  </si>
  <si>
    <t>13 Salário</t>
  </si>
  <si>
    <t>Aviso Previo Indenizado</t>
  </si>
  <si>
    <t>Encargos s/ rescisão</t>
  </si>
  <si>
    <t>Obs:</t>
  </si>
  <si>
    <t>Considerado Turnover de 3% (parâmetro do HEC)</t>
  </si>
  <si>
    <t>CEBAS</t>
  </si>
  <si>
    <t>Sist. S</t>
  </si>
  <si>
    <t>Descrição Original</t>
  </si>
  <si>
    <t>ATIVO</t>
  </si>
  <si>
    <t>PASSIVO</t>
  </si>
  <si>
    <t>RECEITAS OPERACIONAIS</t>
  </si>
  <si>
    <t>CUSTOS E DESPESAS</t>
  </si>
  <si>
    <t>1.01</t>
  </si>
  <si>
    <t>ATIVO CIRCULANTE</t>
  </si>
  <si>
    <t>1.01.01</t>
  </si>
  <si>
    <t>ATIVO CIRCULANTE - SAUDE</t>
  </si>
  <si>
    <t>1.01.01.01</t>
  </si>
  <si>
    <t>DISPONIVEL - SAUDE</t>
  </si>
  <si>
    <t>1.01.01.01.02</t>
  </si>
  <si>
    <t>BANCOS C/MOVIMENTO - SAUDE</t>
  </si>
  <si>
    <t>BANCOS C/MOVIMENTO - SAU</t>
  </si>
  <si>
    <t>1.01.01.01.02.012</t>
  </si>
  <si>
    <t>BANCO DO ESTADO DO ESPIRITO SANTO</t>
  </si>
  <si>
    <t>BANCO DO ESTADO DO ESPIR</t>
  </si>
  <si>
    <t>1.01.01.02</t>
  </si>
  <si>
    <t>CREDITOS - SAUDE</t>
  </si>
  <si>
    <t>1.01.01.02.03</t>
  </si>
  <si>
    <t>CREDITOS PAC. SUS</t>
  </si>
  <si>
    <t>1.01.01.02.03.001</t>
  </si>
  <si>
    <t>PACIENTES DO SUS</t>
  </si>
  <si>
    <t>1.01.01.02.06</t>
  </si>
  <si>
    <t>CREDITOS DE FUNCIONARIOS</t>
  </si>
  <si>
    <t>CREDITOS DE FUNCIONARIO</t>
  </si>
  <si>
    <t>1.01.01.02.06.005</t>
  </si>
  <si>
    <t>OUTROS ADIANTAMENTOS A FUNCIONARI</t>
  </si>
  <si>
    <t>OUTROS ADIANTAMENTOS A</t>
  </si>
  <si>
    <t>1.01.01.02.07</t>
  </si>
  <si>
    <t>OUTROS CREDITOS</t>
  </si>
  <si>
    <t>1.01.01.02.07.999</t>
  </si>
  <si>
    <t>OUTROS CREDITOS A RECEB</t>
  </si>
  <si>
    <t>Debito</t>
  </si>
  <si>
    <t>Credito</t>
  </si>
  <si>
    <t>1.01.01.03</t>
  </si>
  <si>
    <t>ESTOQUES - SAUDE</t>
  </si>
  <si>
    <t>1.01.01.03.01</t>
  </si>
  <si>
    <t>1.01.01.03.01.001</t>
  </si>
  <si>
    <t>MATERIAIS, MEDICAMENTOS</t>
  </si>
  <si>
    <t>1.01.01.03.01.002</t>
  </si>
  <si>
    <t>1.01.01.03.01.003</t>
  </si>
  <si>
    <t>1.01.01.03.01.004</t>
  </si>
  <si>
    <t>MATERIAIS  DE USO DO PACIE</t>
  </si>
  <si>
    <t>1.01.01.03.01.005</t>
  </si>
  <si>
    <t>1.01.01.03.01.006</t>
  </si>
  <si>
    <t>1.01.01.03.01.007</t>
  </si>
  <si>
    <t>PRODUTOS DE LIMPEZA/DESC</t>
  </si>
  <si>
    <t>1.01.01.03.01.008</t>
  </si>
  <si>
    <t>1.01.01.03.01.010</t>
  </si>
  <si>
    <t>1.01.01.03.01.012</t>
  </si>
  <si>
    <t>IMPRESSOS E MAT. EXPEDIEN</t>
  </si>
  <si>
    <t>1.01.01.03.01.013</t>
  </si>
  <si>
    <t>1.01.01.03.01.998</t>
  </si>
  <si>
    <t>1.01.01.03.01.999</t>
  </si>
  <si>
    <t>CENTRO DE MATERIAL ESTER</t>
  </si>
  <si>
    <t>4.01.01.01.03.001</t>
  </si>
  <si>
    <t>OPME - ORTESES, PROTESES</t>
  </si>
  <si>
    <t>4.01.01.01.03.002</t>
  </si>
  <si>
    <t>4.01.01.01.03.007</t>
  </si>
  <si>
    <t>EQUIPAMENTOS DE PROTECA</t>
  </si>
  <si>
    <t>4.01.01.01.03.009</t>
  </si>
  <si>
    <t>4.01.01.01.03.010</t>
  </si>
  <si>
    <t>EMPRESTIMOS DE INSUMOS - CONCEDIDO</t>
  </si>
  <si>
    <t>4.01.01.01.03.008</t>
  </si>
  <si>
    <t>EMPRESTIMOS DE INSUMOS -</t>
  </si>
  <si>
    <t>( - )EMPRESTIMOS DE INSUMOS - RECEBID</t>
  </si>
  <si>
    <t>4.01.01.01.03.003</t>
  </si>
  <si>
    <t>( - )EMPRESTIMOS DE INSUMO</t>
  </si>
  <si>
    <t>4.01.01.01.03.006</t>
  </si>
  <si>
    <t>1.02</t>
  </si>
  <si>
    <t>ATIVO NAO CIRCULANTE</t>
  </si>
  <si>
    <t>4.01.01.01.03.014</t>
  </si>
  <si>
    <t>1.02.01</t>
  </si>
  <si>
    <t>ATIVO NAO CIRCULANTE - SAUDE</t>
  </si>
  <si>
    <t>4.01.01.01.03.004</t>
  </si>
  <si>
    <t>ATIVO NAO CIRCULANTE - SA</t>
  </si>
  <si>
    <t>1.02.01.03</t>
  </si>
  <si>
    <t>IMOBILIZADO - SAUDE</t>
  </si>
  <si>
    <t>1.02.01.03.01</t>
  </si>
  <si>
    <t>1.02.01.03.01.009</t>
  </si>
  <si>
    <t>EQUIPAMENTOS DE PROCESSAMENTO DE</t>
  </si>
  <si>
    <t>1.02.01.03.03</t>
  </si>
  <si>
    <t>( - ) DEPRECIACOES ACUMULADAS</t>
  </si>
  <si>
    <t>1.02.01.03.03.008</t>
  </si>
  <si>
    <t>( - ) DEPR.ACUM.EQUIPAMENTOS PROCES</t>
  </si>
  <si>
    <t>1.02.01.03.04</t>
  </si>
  <si>
    <t>IMOBILIZADO - GESTAO PUBLICA.</t>
  </si>
  <si>
    <t>IMOBILIZADO - GESTAO PUBL</t>
  </si>
  <si>
    <t>1.02.01.03.04.001</t>
  </si>
  <si>
    <t>INSTALACOES - GP</t>
  </si>
  <si>
    <t>1.02.01.03.04.002</t>
  </si>
  <si>
    <t>APARELHOS MEDICINA E CIRURGIA - GP</t>
  </si>
  <si>
    <t>APARELHOS MEDICINA E CIRU</t>
  </si>
  <si>
    <t>1.02.01.03.04.003</t>
  </si>
  <si>
    <t>INSTRUMENTOS DE CIRURGIA - GP</t>
  </si>
  <si>
    <t>INSTRUMENTOS DE CIRURGIA</t>
  </si>
  <si>
    <t>1.02.01.03.04.004</t>
  </si>
  <si>
    <t>MOVEIS E MAQUINAS - GP</t>
  </si>
  <si>
    <t>1.02.01.03.04.006</t>
  </si>
  <si>
    <t>EQUIPAMENTOS DE PROCESS</t>
  </si>
  <si>
    <t>1.02.01.03.04.008</t>
  </si>
  <si>
    <t>BENFEITORIAS - GP</t>
  </si>
  <si>
    <t>1.02.01.03.04.010</t>
  </si>
  <si>
    <t>BENS ADQUIRIDOS A IMOBILIZAR - GP</t>
  </si>
  <si>
    <t>BENS ADQUIRIDOS A IMOBILIZ</t>
  </si>
  <si>
    <t>1.02.01.03.06</t>
  </si>
  <si>
    <t>(-) DEPR.ACUMULADAS - GESTAO PUBLIC</t>
  </si>
  <si>
    <t>(-) DEPR.ACUMULADAS - GES</t>
  </si>
  <si>
    <t>1.02.01.03.06.001</t>
  </si>
  <si>
    <t>( - ) DEPR.ACUM.INSTALACOES - GP</t>
  </si>
  <si>
    <t>( - ) DEPR.ACUM.INSTALACOE</t>
  </si>
  <si>
    <t>1.02.01.03.06.002</t>
  </si>
  <si>
    <t>( - ) DEPR.ACUM.APARELHOS MEDICINA E</t>
  </si>
  <si>
    <t>( - ) DEPR.ACUM.APARELHOS</t>
  </si>
  <si>
    <t>1.02.01.03.06.003</t>
  </si>
  <si>
    <t>( - ) DEPR.ACUM.INSTRUMENTOS MEDICIN</t>
  </si>
  <si>
    <t>( - ) DEPR.ACUM.INSTRUMENT</t>
  </si>
  <si>
    <t>1.02.01.03.06.004</t>
  </si>
  <si>
    <t>( - ) DEPR.ACUM.MOVEIS E MAQUINAS - G</t>
  </si>
  <si>
    <t>( - ) DEPR.ACUM.MOVEIS E MA</t>
  </si>
  <si>
    <t>1.02.01.03.06.006</t>
  </si>
  <si>
    <t>( - ) DEPR.ACUM.EQUIPAMENT</t>
  </si>
  <si>
    <t>1.02.01.03.06.008</t>
  </si>
  <si>
    <t>( - ) DEPR.ACUM.BENFEITORIAS - GP</t>
  </si>
  <si>
    <t>( - ) DEPR.ACUM.BENFEITORIA</t>
  </si>
  <si>
    <t>1.02.01.04</t>
  </si>
  <si>
    <t>INTANGIVEL - SAUDE</t>
  </si>
  <si>
    <t>1.02.01.04.03</t>
  </si>
  <si>
    <t>INTANGIVEL - GESTAO PUBLICA.</t>
  </si>
  <si>
    <t>INTANGIVEL - GESTAO PUBLI</t>
  </si>
  <si>
    <t>1.02.01.04.03.002</t>
  </si>
  <si>
    <t>DIREITO DE USO DE SOFTWARE - GP</t>
  </si>
  <si>
    <t>DIREITO DE USO DE SOFTWA</t>
  </si>
  <si>
    <t>1.02.01.04.04</t>
  </si>
  <si>
    <t>( - ) AMORTIZACOES ACUMULADAS - GEST</t>
  </si>
  <si>
    <t>( - ) AMORTIZACOES ACUMUL</t>
  </si>
  <si>
    <t>1.02.01.04.04.001</t>
  </si>
  <si>
    <t>( - ) AMORTIZACAO ACUM.SOFTWARE - G</t>
  </si>
  <si>
    <t>( - ) AMORTIZACAO ACUM.SOF</t>
  </si>
  <si>
    <t>1.02.01.05</t>
  </si>
  <si>
    <t>DIREITO DE USO DE ARRENDAMENTOS - S</t>
  </si>
  <si>
    <t>1.02.01.05.01</t>
  </si>
  <si>
    <t>ATIVOS FIXOS DE ARRENDAMENTOS - SA</t>
  </si>
  <si>
    <t>1.02.01.05.01.005</t>
  </si>
  <si>
    <t>MOVEIS E MAQUINAS</t>
  </si>
  <si>
    <t>1.02.01.05.02</t>
  </si>
  <si>
    <t>(-)DEPRECIACOES ACUMULADAS DE ARR</t>
  </si>
  <si>
    <t>1.02.01.05.02.005</t>
  </si>
  <si>
    <t>(-) DEPR.ACUM.MOVEIS E MAQUINAS</t>
  </si>
  <si>
    <t>2.01</t>
  </si>
  <si>
    <t>PASSIVO CIRCULANTE</t>
  </si>
  <si>
    <t>2.01.01</t>
  </si>
  <si>
    <t>PASSIVO CIRCULANTE - SAUDE</t>
  </si>
  <si>
    <t>PASSIVO CIRCULANTE - SAUD</t>
  </si>
  <si>
    <t>2.01.01.01</t>
  </si>
  <si>
    <t>FORNECEDORES - SAUDE</t>
  </si>
  <si>
    <t>2.01.01.01.01</t>
  </si>
  <si>
    <t>FORNEC.MATERIAIS/MEDICAMENTOS</t>
  </si>
  <si>
    <t>FORNEC.MATERIAIS/MEDICAM</t>
  </si>
  <si>
    <t>2.01.01.01.01.001</t>
  </si>
  <si>
    <t>FORNEC. MATERIAIS/MEDICAMENTOS</t>
  </si>
  <si>
    <t>FORNEC. MATERIAIS/MEDICAM</t>
  </si>
  <si>
    <t>2.01.01.01.02</t>
  </si>
  <si>
    <t>FORNEC. SERVICOS MEDICOS - PJ -</t>
  </si>
  <si>
    <t>FORNEC. SERVICOS MEDICOS</t>
  </si>
  <si>
    <t>2.01.01.01.02.001</t>
  </si>
  <si>
    <t>FORNEC.SERVICOS MEDICOS - PJ</t>
  </si>
  <si>
    <t>FORNEC.SERVICOS MEDICOS</t>
  </si>
  <si>
    <t>2.01.01.01.04</t>
  </si>
  <si>
    <t>FORNEC. SERVICOS   DIVERSOS PJ</t>
  </si>
  <si>
    <t>FORNEC. SERVICOS  DIVERSO</t>
  </si>
  <si>
    <t>2.01.01.01.04.001</t>
  </si>
  <si>
    <t>FORNEC. SERVICOS DIVERSOS PJ</t>
  </si>
  <si>
    <t>FORNEC. SERVICOS DIVERSO</t>
  </si>
  <si>
    <t>2.01.01.02</t>
  </si>
  <si>
    <t>OBRIGACOES - SAUDE</t>
  </si>
  <si>
    <t>2.01.01.02.01</t>
  </si>
  <si>
    <t>OBRIGACOES TRABALHISTAS</t>
  </si>
  <si>
    <t>OBRIGACOES TRABALHISTA</t>
  </si>
  <si>
    <t>2.01.01.02.01.001</t>
  </si>
  <si>
    <t>ORDENADOS A PAGAR</t>
  </si>
  <si>
    <t>2.01.01.02.01.003</t>
  </si>
  <si>
    <t>RESCISOES A PAGAR</t>
  </si>
  <si>
    <t>2.01.01.02.01.004</t>
  </si>
  <si>
    <t>13 SALARIO A PAGAR</t>
  </si>
  <si>
    <t>2.01.01.02.01.005</t>
  </si>
  <si>
    <t>PENSAO ALIMENTICIA A PAGAR</t>
  </si>
  <si>
    <t>PENSAO ALIMENTICIA A PAGA</t>
  </si>
  <si>
    <t>2.01.01.02.02</t>
  </si>
  <si>
    <t>OBRIGACOES SOCIAIS</t>
  </si>
  <si>
    <t>2.01.01.02.02.002</t>
  </si>
  <si>
    <t>F.G.T.S. A RECOLHER</t>
  </si>
  <si>
    <t>2.01.01.02.02.003</t>
  </si>
  <si>
    <t>I.N.S.S. A RECOLHER</t>
  </si>
  <si>
    <t>2.01.01.02.02.004</t>
  </si>
  <si>
    <t>P.I.S. A RECOLHER</t>
  </si>
  <si>
    <t>2.01.01.02.03</t>
  </si>
  <si>
    <t>OBRIGACOES FISCAIS</t>
  </si>
  <si>
    <t>2.01.01.02.03.001</t>
  </si>
  <si>
    <t>I.S.S. A RECOLHER</t>
  </si>
  <si>
    <t>2.01.01.02.03.003</t>
  </si>
  <si>
    <t>I.R.R.F. A RECOLHER</t>
  </si>
  <si>
    <t>2.01.01.02.03.004</t>
  </si>
  <si>
    <t>COFINS, PIS E CSSL A RECOLHER</t>
  </si>
  <si>
    <t>COFINS, PIS E CSSL A RECOL</t>
  </si>
  <si>
    <t>2.01.01.02.03.005</t>
  </si>
  <si>
    <t>INSS PJ RETIDO NA FONTE</t>
  </si>
  <si>
    <t>2.01.01.02.03.007</t>
  </si>
  <si>
    <t>I.R.R.F. A RECOLHER SOBRE FOPAG</t>
  </si>
  <si>
    <t>I.R.R.F. A RECOLHER SOBRE F</t>
  </si>
  <si>
    <t>2.01.01.02.04</t>
  </si>
  <si>
    <t>OUTRAS OBRIGACOES</t>
  </si>
  <si>
    <t>2.01.01.02.04.004</t>
  </si>
  <si>
    <t>ALUGUEIS A PAGAR</t>
  </si>
  <si>
    <t>2.01.01.02.04.006</t>
  </si>
  <si>
    <t>CONTAS A PAGAR</t>
  </si>
  <si>
    <t>2.01.01.02.05</t>
  </si>
  <si>
    <t>PROVISOES</t>
  </si>
  <si>
    <t>2.01.01.02.05.001</t>
  </si>
  <si>
    <t>PROVISAO PARA 13 SALARIO</t>
  </si>
  <si>
    <t>PROVISAO PARA 13 SALARI</t>
  </si>
  <si>
    <t>2.01.01.02.05.002</t>
  </si>
  <si>
    <t>PROVISAO PARA    FERIAS</t>
  </si>
  <si>
    <t>PROVISAO PARA   FERIAS</t>
  </si>
  <si>
    <t>2.01.01.02.05.003</t>
  </si>
  <si>
    <t>PROVISAO PARA    ENCARGOS SOCIAIS - 1</t>
  </si>
  <si>
    <t>PROVISAO PARA   ENCARGOS</t>
  </si>
  <si>
    <t>2.01.01.02.05.004</t>
  </si>
  <si>
    <t>PROVISÃO PARA ENCARGOS SOCIAIS - FE</t>
  </si>
  <si>
    <t>PROVISÃO PARA ENCARGOS</t>
  </si>
  <si>
    <t>2.02</t>
  </si>
  <si>
    <t>PASSIVO NAO CIRCULANTE</t>
  </si>
  <si>
    <t>2.02.01</t>
  </si>
  <si>
    <t>PASSIVO NAO CIRCULANTE - SAUDE</t>
  </si>
  <si>
    <t>PASSIVO NAO CIRCULANTE -</t>
  </si>
  <si>
    <t>2.02.01.02</t>
  </si>
  <si>
    <t>RECEITAS DIFERIDAS - SAUDE</t>
  </si>
  <si>
    <t>RECEITAS DIFERIDAS - SAUD</t>
  </si>
  <si>
    <t>2.02.01.02.01</t>
  </si>
  <si>
    <t>RECEITAS DIFERIDAS</t>
  </si>
  <si>
    <t>2.02.01.02.01.003</t>
  </si>
  <si>
    <t>BENS PUBLICOS EM NOSSO PODER LP</t>
  </si>
  <si>
    <t>BENS PUBLICOS EM NOSSO P</t>
  </si>
  <si>
    <t>2.03</t>
  </si>
  <si>
    <t>PATRIMONIO</t>
  </si>
  <si>
    <t>2.03.01</t>
  </si>
  <si>
    <t>PATRIMONIO - SAUDE</t>
  </si>
  <si>
    <t>2.03.01.01</t>
  </si>
  <si>
    <t>PATRIMONIO LIQUIDO - SAUDE</t>
  </si>
  <si>
    <t>PATRIMONIO LIQUIDO - SAUD</t>
  </si>
  <si>
    <t>2.03.01.01.01</t>
  </si>
  <si>
    <t>PATRIMONIO LIQUIDO</t>
  </si>
  <si>
    <t>2.03.01.01.01.001</t>
  </si>
  <si>
    <t>PATRIMONIO SOCIAL</t>
  </si>
  <si>
    <t>2.03.01.01.01.008</t>
  </si>
  <si>
    <t>RESERVA DE SUPERAVITS CO</t>
  </si>
  <si>
    <t>3.01</t>
  </si>
  <si>
    <t>RECEITAS - SAUDE</t>
  </si>
  <si>
    <t>3.01.01</t>
  </si>
  <si>
    <t>RECEITAS - HOSPITAIS</t>
  </si>
  <si>
    <t>3.01.01.05</t>
  </si>
  <si>
    <t>OUTRAS RECEITAS OPERACIONAIS</t>
  </si>
  <si>
    <t>OUTRAS RECEITAS OPERACI</t>
  </si>
  <si>
    <t>3.01.01.05.02</t>
  </si>
  <si>
    <t>RECEITAS COM CONTRATOS DE GESTAO</t>
  </si>
  <si>
    <t>RECEITAS COM CONTRATOS</t>
  </si>
  <si>
    <t>3.01.01.05.02.002</t>
  </si>
  <si>
    <t>RECEITAS C/CONTRATO DE GESTAO - EST</t>
  </si>
  <si>
    <t>RECEITAS C/CONTRATO DE G</t>
  </si>
  <si>
    <t>3.01.01.05.02.007</t>
  </si>
  <si>
    <t>RECEITAS COM DEPRECIAÇÃO C/CONTRA</t>
  </si>
  <si>
    <t>RECEITAS COM DEPRECIAÇÃ</t>
  </si>
  <si>
    <t>3.01.01.05.04</t>
  </si>
  <si>
    <t>RECEITAS COM DOACOES</t>
  </si>
  <si>
    <t>3.01.01.05.04.004</t>
  </si>
  <si>
    <t>EM MATERIAIS - PJ</t>
  </si>
  <si>
    <t>3.01.01.05.05</t>
  </si>
  <si>
    <t>RECEITAS DIVERSAS</t>
  </si>
  <si>
    <t>3.01.01.05.05.007</t>
  </si>
  <si>
    <t>RECUPERACAO DE DESP. C/ PESSOAL</t>
  </si>
  <si>
    <t>RECUPERACAO DE DESP. C/ P</t>
  </si>
  <si>
    <t>3.01.01.06</t>
  </si>
  <si>
    <t>RECEITAS FINANCEIRAS</t>
  </si>
  <si>
    <t>3.01.01.06.01</t>
  </si>
  <si>
    <t>3.01.01.06.01.001</t>
  </si>
  <si>
    <t>DESCONTO FINANCEIRO OBTI</t>
  </si>
  <si>
    <t>3.01.01.06.01.002</t>
  </si>
  <si>
    <t>RENDIM. APLICACOES FINANCEIRAS</t>
  </si>
  <si>
    <t>RENDIM. APLICACOES FINANC</t>
  </si>
  <si>
    <t>INDENIZACAO E AVISOS PREV</t>
  </si>
  <si>
    <t>CONTRIBUICAO PATRONAL - I</t>
  </si>
  <si>
    <t>4.01.01.01.01.012</t>
  </si>
  <si>
    <t>SEGURO ACIDENTE DE TRABA</t>
  </si>
  <si>
    <t>COTA TERCEIROS ( SESC, SE</t>
  </si>
  <si>
    <t>4.01.01.01.01.021</t>
  </si>
  <si>
    <t>PESSOAL SERVICOS TERCEIR</t>
  </si>
  <si>
    <t>4.01.01.01.02.001</t>
  </si>
  <si>
    <t>SERV. MEDICOS PESSOAS JU</t>
  </si>
  <si>
    <t>4.01.01.01.02.008</t>
  </si>
  <si>
    <t>CONSULTORIA DE SISTEMA D</t>
  </si>
  <si>
    <t>4.01.01.01.02.014</t>
  </si>
  <si>
    <t>MANUTENÇÃO DE EQUIPAMEN</t>
  </si>
  <si>
    <t>4.01.01.01.02.017</t>
  </si>
  <si>
    <t>LIMPEZA, CONSERVAÇÃO E R</t>
  </si>
  <si>
    <t>4.01.01.01.02.018</t>
  </si>
  <si>
    <t>4.01.01.01.02.019</t>
  </si>
  <si>
    <t>ASSESSORIA EMPRESARIAL E</t>
  </si>
  <si>
    <t>4.01.01.01.02.022</t>
  </si>
  <si>
    <t>SERVIÇOS TÉCNICOS DE SAÚ</t>
  </si>
  <si>
    <t>4.01.01.01.03</t>
  </si>
  <si>
    <t>MATERIAIS E MEDICAMENTOS</t>
  </si>
  <si>
    <t>MATERIAIS E MEDICAMENTO</t>
  </si>
  <si>
    <t>MAT. DE USO DO PACIENTE</t>
  </si>
  <si>
    <t>OPME - ORTESES PROTESES E MATERIAIS</t>
  </si>
  <si>
    <t>OPME - ORTESES PROTESES</t>
  </si>
  <si>
    <t>IMPRESSOS E MATER. EXPEDIENTE</t>
  </si>
  <si>
    <t>IMPRESSOS E MATER. EXPED</t>
  </si>
  <si>
    <t>MATERIAIS DE LIMPEZA / DESCARTAVEIS</t>
  </si>
  <si>
    <t>MATERIAIS DE LIMPEZA / DES</t>
  </si>
  <si>
    <t>4.01.01.01.05.002</t>
  </si>
  <si>
    <t>4.01.01.01.05.003</t>
  </si>
  <si>
    <t>4.01.01.01.05.004</t>
  </si>
  <si>
    <t>4.01.01.01.05.005</t>
  </si>
  <si>
    <t>VIAGENS, AJUDA DE CUSTOS</t>
  </si>
  <si>
    <t>4.01.01.01.05.011</t>
  </si>
  <si>
    <t>4.01.01.01.05.012</t>
  </si>
  <si>
    <t>PERDAS DIVERSAS</t>
  </si>
  <si>
    <t>4.01.01.01.05.014</t>
  </si>
  <si>
    <t>DEPRECIACOES</t>
  </si>
  <si>
    <t>4.01.01.01.05.015</t>
  </si>
  <si>
    <t>AMORTIZACOES</t>
  </si>
  <si>
    <t>4.01.01.01.05.025</t>
  </si>
  <si>
    <t>PERDAS EM ESTOQUES</t>
  </si>
  <si>
    <t>4.01.01.01.05.028</t>
  </si>
  <si>
    <t>ALUGUÉIS DE EQUIPAMENTOS</t>
  </si>
  <si>
    <t>4.01.01.01.05.029</t>
  </si>
  <si>
    <t>ALUGUÉIS DE BENS MÓVEIS,</t>
  </si>
  <si>
    <t>PROV. PARA   CUSTOS DO EX</t>
  </si>
  <si>
    <t>ENCARGOS SOCIAIS - 13º SAL</t>
  </si>
  <si>
    <t>IMPOSTOS, TAXAS E CONTRIB</t>
  </si>
  <si>
    <t>4.01.01.01.07.003</t>
  </si>
  <si>
    <t>CONTRIB. ASSOCIACAO DE CL</t>
  </si>
  <si>
    <t>JUROS E CORRECAO MONETA</t>
  </si>
  <si>
    <t>4.01.01.01.08.002</t>
  </si>
  <si>
    <t>BANCO DO ESTADO DO ESPIRITO SANTO C.C. 3083935-1</t>
  </si>
  <si>
    <t>1.01.01.01.03</t>
  </si>
  <si>
    <t>APLICACOES FINANCEIRAS DE LIQUIDEZ IMEDIATA</t>
  </si>
  <si>
    <t>1.01.01.01.03.001</t>
  </si>
  <si>
    <t>1.01.01.02.06.002</t>
  </si>
  <si>
    <t>ADIANTAMENTO DE 13 SALARIO</t>
  </si>
  <si>
    <t>1.01.01.02.07.006</t>
  </si>
  <si>
    <t>SUBVENCAO E ASSISTENCIA GOVERNAMENTAIS A</t>
  </si>
  <si>
    <t>1.01.01.02.11</t>
  </si>
  <si>
    <t>IMPOSTOS A RECUPERAR</t>
  </si>
  <si>
    <t>1.01.01.02.11.003</t>
  </si>
  <si>
    <t>IRRF A RECUPERAR</t>
  </si>
  <si>
    <t>1.01.01.02.11.007</t>
  </si>
  <si>
    <t>IRRF RETIDO S/ APLICACAO FINANCEIRA</t>
  </si>
  <si>
    <t>P A S S I V O</t>
  </si>
  <si>
    <t>I.N.S.S. A RECOLHER FUNCIONARIOS</t>
  </si>
  <si>
    <t>I.R.R.F RETIDO S/FOLHA PAGAMENTO</t>
  </si>
  <si>
    <t>PROVISAO PARA FERIAS</t>
  </si>
  <si>
    <t>PROVISAO PARA   ENCARGOS SOCIAIS - 13 SAL</t>
  </si>
  <si>
    <t>PROVISAO PARA   ENCARGOS SOCIAIS - FÉRIAS</t>
  </si>
  <si>
    <t>2.02.01.02.01.002</t>
  </si>
  <si>
    <t>SUBVENCAO   E ASSISTENCIA GOVERNAMENTAIS</t>
  </si>
  <si>
    <t>R E C E I T A S</t>
  </si>
  <si>
    <t>3.01.01.05.03</t>
  </si>
  <si>
    <t>RECEITAS COM SUBVENCOES</t>
  </si>
  <si>
    <t>3.01.01.05.03.002</t>
  </si>
  <si>
    <t>ESTADUAL</t>
  </si>
  <si>
    <t>ASSESSORIA EMPRESARIAL E SERVIÇOS ADMINI</t>
  </si>
  <si>
    <t>OUTROS ADIANTAMENTOS A FUNCIONARIOS</t>
  </si>
  <si>
    <t>01.01.02.07</t>
  </si>
  <si>
    <t>ENCARGOS SOCIAIS - FÉRIAS</t>
  </si>
  <si>
    <t>1.01.01.01.02.027</t>
  </si>
  <si>
    <t>.01.01.02.11.007</t>
  </si>
  <si>
    <t>2.03.01.01.01.003</t>
  </si>
  <si>
    <t>RESULTADO DO EXERCICIO SUPERAVIT/DEFICIT</t>
  </si>
  <si>
    <t>1.01.01.05.052</t>
  </si>
  <si>
    <t>Tipo de Conta</t>
  </si>
  <si>
    <t>Código Contábil</t>
  </si>
  <si>
    <t>Grau</t>
  </si>
  <si>
    <t>Código Reduzido</t>
  </si>
  <si>
    <t>Descrição da Conta</t>
  </si>
  <si>
    <t>Sintética</t>
  </si>
  <si>
    <t>1.01.01.01.01</t>
  </si>
  <si>
    <t>CAIXA - SAUDE</t>
  </si>
  <si>
    <t>Analítica</t>
  </si>
  <si>
    <t>1.01.01.01.01.001</t>
  </si>
  <si>
    <t>CAIXA - HOSPITAIS</t>
  </si>
  <si>
    <t>1.01.01.01.01.002</t>
  </si>
  <si>
    <t>CAIXA - SUPERINTENDENCIA</t>
  </si>
  <si>
    <t>1.01.01.01.01.003</t>
  </si>
  <si>
    <t>FUNDO FIXO - HOSPITAIS</t>
  </si>
  <si>
    <t>1.01.01.01.01.004</t>
  </si>
  <si>
    <t>FUNDO FIXO - SUPERINTENDENCIA</t>
  </si>
  <si>
    <t>1.01.01.01.02.001</t>
  </si>
  <si>
    <t>BANCO ITAU</t>
  </si>
  <si>
    <t>1.01.01.01.02.002</t>
  </si>
  <si>
    <t>CAIXA ECONOMICA FEDERAL</t>
  </si>
  <si>
    <t>1.01.01.01.02.003</t>
  </si>
  <si>
    <t>BANCO SANTANDER</t>
  </si>
  <si>
    <t>1.01.01.01.02.004</t>
  </si>
  <si>
    <t>BBV - BANCO BILBAO VISCAYA</t>
  </si>
  <si>
    <t>1.01.01.01.02.005</t>
  </si>
  <si>
    <t>BANCO BRADESCO</t>
  </si>
  <si>
    <t>1.01.01.01.02.006</t>
  </si>
  <si>
    <t>BANCO HSBC</t>
  </si>
  <si>
    <t>1.01.01.01.02.007</t>
  </si>
  <si>
    <t>BANCO DO BRASIL</t>
  </si>
  <si>
    <t>1.01.01.01.02.008</t>
  </si>
  <si>
    <t>BANCO PANAMERICANO</t>
  </si>
  <si>
    <t>1.01.01.01.02.009</t>
  </si>
  <si>
    <t>UNIBANCO</t>
  </si>
  <si>
    <t>1.01.01.01.02.010</t>
  </si>
  <si>
    <t>BANCO REAL</t>
  </si>
  <si>
    <t>1.01.01.01.02.011</t>
  </si>
  <si>
    <t>BANCO SAFRA</t>
  </si>
  <si>
    <t>1.01.01.01.02.013</t>
  </si>
  <si>
    <t>NOSSA CAIXA NOSSO BANCO</t>
  </si>
  <si>
    <t>1.01.01.01.02.014</t>
  </si>
  <si>
    <t>BANCO ALFA</t>
  </si>
  <si>
    <t>1.01.01.01.02.015</t>
  </si>
  <si>
    <t>BANCO UNICRED</t>
  </si>
  <si>
    <t>1.01.01.01.02.016</t>
  </si>
  <si>
    <t>BANCO B. B. BESC</t>
  </si>
  <si>
    <t>1.01.01.01.02.017</t>
  </si>
  <si>
    <t>BANCO BANRISUL</t>
  </si>
  <si>
    <t>1.01.01.01.02.018</t>
  </si>
  <si>
    <t>BANCO DO BRASIL - SUBVENÇÃO C/ RESTRIÇÃO</t>
  </si>
  <si>
    <t>1.01.01.01.02.019</t>
  </si>
  <si>
    <t>BANCO BNP PARIBAS</t>
  </si>
  <si>
    <t>1.01.01.01.02.020</t>
  </si>
  <si>
    <t>BANCO ITAU - CONTA CENTRALIZADORA</t>
  </si>
  <si>
    <t>1.01.01.01.02.021</t>
  </si>
  <si>
    <t>GERAÇÃO FUTURO</t>
  </si>
  <si>
    <t>1.01.01.01.02.022</t>
  </si>
  <si>
    <t>MS BANK</t>
  </si>
  <si>
    <t>1.01.01.01.02.023</t>
  </si>
  <si>
    <t>XP INVESTIMENTOS</t>
  </si>
  <si>
    <t>1.01.01.01.02.024</t>
  </si>
  <si>
    <t>CAIXA ECON. FEDERAL - SUBVENÇÃO C/ RESTRIÇÃO</t>
  </si>
  <si>
    <t>1.01.01.01.02.025</t>
  </si>
  <si>
    <t>BANCO ITAÚ - SUBVENÇÃO C/ RESTRIÇÃO</t>
  </si>
  <si>
    <t>1.01.01.01.02.026</t>
  </si>
  <si>
    <t>BANCO VIACREDI - COOPERATIVA CENTRAL DE CRÉDITO</t>
  </si>
  <si>
    <t>BANCOS CONTAS DE CURTO PRAZO - SAUDE</t>
  </si>
  <si>
    <t>1.01.01.01.03.002</t>
  </si>
  <si>
    <t>1.01.01.01.03.003</t>
  </si>
  <si>
    <t>1.01.01.01.03.004</t>
  </si>
  <si>
    <t>1.01.01.01.03.005</t>
  </si>
  <si>
    <t>1.01.01.01.03.006</t>
  </si>
  <si>
    <t>1.01.01.01.03.007</t>
  </si>
  <si>
    <t>1.01.01.01.03.008</t>
  </si>
  <si>
    <t>1.01.01.01.03.009</t>
  </si>
  <si>
    <t>1.01.01.01.03.010</t>
  </si>
  <si>
    <t>1.01.01.01.03.011</t>
  </si>
  <si>
    <t>1.01.01.01.03.012</t>
  </si>
  <si>
    <t>1.01.01.01.03.013</t>
  </si>
  <si>
    <t>1.01.01.01.03.014</t>
  </si>
  <si>
    <t>1.01.01.01.03.015</t>
  </si>
  <si>
    <t>1.01.01.01.03.016</t>
  </si>
  <si>
    <t>1.01.01.01.03.017</t>
  </si>
  <si>
    <t>1.01.01.01.03.018</t>
  </si>
  <si>
    <t>1.01.01.01.03.019</t>
  </si>
  <si>
    <t>1.01.01.01.03.020</t>
  </si>
  <si>
    <t>1.01.01.01.03.021</t>
  </si>
  <si>
    <t>1.01.01.01.03.022</t>
  </si>
  <si>
    <t>1.01.01.01.03.023</t>
  </si>
  <si>
    <t>1.01.01.01.04</t>
  </si>
  <si>
    <t>VALORES PENDENTES - SAUDE</t>
  </si>
  <si>
    <t>1.01.01.01.04.001</t>
  </si>
  <si>
    <t>VALORES A DEPOSITAR</t>
  </si>
  <si>
    <t>1.01.01.01.04.002</t>
  </si>
  <si>
    <t>CHEQUES DEVOLVIDOS</t>
  </si>
  <si>
    <t>1.01.01.01.04.003</t>
  </si>
  <si>
    <t>PROVISÕES PARA PERDAS EM CHEQUES DEVOLVIDOS</t>
  </si>
  <si>
    <t>1.01.01.02.01</t>
  </si>
  <si>
    <t>CREDITOS PAC. PARTICULARES</t>
  </si>
  <si>
    <t>1.01.01.02.01.001</t>
  </si>
  <si>
    <t>PACIENTES PARTICULARES</t>
  </si>
  <si>
    <t>1.01.01.02.01.002</t>
  </si>
  <si>
    <t>FUNDO CONDOMINIAL SANTA CATARINA</t>
  </si>
  <si>
    <t>1.01.01.02.01.003</t>
  </si>
  <si>
    <t>AJUSTE DE VARIABILIDADE DA RECEITA - PARTICULARES</t>
  </si>
  <si>
    <t>1.01.01.02.02</t>
  </si>
  <si>
    <t>CREDITOS PAC. CONVENIOS</t>
  </si>
  <si>
    <t>1.01.01.02.02.001</t>
  </si>
  <si>
    <t>PACIENTES DE CONVENIOS</t>
  </si>
  <si>
    <t>1.01.01.02.02.002</t>
  </si>
  <si>
    <t>RECURSOS DE GLOSA</t>
  </si>
  <si>
    <t>1.01.01.02.02.003</t>
  </si>
  <si>
    <t>AJUSTE DE VARIABILIDADE DA RECEITA -  CONVENIOS</t>
  </si>
  <si>
    <t>1.01.01.02.02.999</t>
  </si>
  <si>
    <t>(-) CREDITOS CONVENIOS NAO IDENTIFICADOS</t>
  </si>
  <si>
    <t>1.01.01.02.03.002</t>
  </si>
  <si>
    <t>INCENTIVOS GOVERNAMENTAIS</t>
  </si>
  <si>
    <t>1.01.01.02.03.003</t>
  </si>
  <si>
    <t>AJUSTE DE VARIABILIDADE DA RECEITA - SUS</t>
  </si>
  <si>
    <t>1.01.01.02.03.004</t>
  </si>
  <si>
    <t>(-) CREDITOS SUS NAO IDENTIFICADOS</t>
  </si>
  <si>
    <t>1.01.01.02.04</t>
  </si>
  <si>
    <t>( - ) DUPLICATAS DESCONTADAS</t>
  </si>
  <si>
    <t>1.01.01.02.04.001</t>
  </si>
  <si>
    <t>1.01.01.02.05</t>
  </si>
  <si>
    <t>( - ) PROV.CREDITO LIQUIDACAO DUVIDOSA</t>
  </si>
  <si>
    <t>1.01.01.02.05.001</t>
  </si>
  <si>
    <t>( - ) PROV.CREDITO LIQUIDACAO DUVIDOSA - PAC PARTICULARES</t>
  </si>
  <si>
    <t>1.01.01.02.05.002</t>
  </si>
  <si>
    <t>( - ) PROV.CREDITO LIQUIDACAO DUVIDOSA PAC.CONVENIOS</t>
  </si>
  <si>
    <t>1.01.01.02.05.003</t>
  </si>
  <si>
    <t>( - ) PROV.CREDITO LIQUIDACAO DUVIDOSA - PAC. SUS</t>
  </si>
  <si>
    <t>1.01.01.02.06.001</t>
  </si>
  <si>
    <t>ADIANTAMENTO DE ORDENADOS</t>
  </si>
  <si>
    <t>1.01.01.02.06.003</t>
  </si>
  <si>
    <t>ADIANTAMENTOS DE FERIAS</t>
  </si>
  <si>
    <t>1.01.01.02.06.004</t>
  </si>
  <si>
    <t>ADIANTAMENTOS DE VIAGENS</t>
  </si>
  <si>
    <t>1.01.01.02.06.006</t>
  </si>
  <si>
    <t>SALARIO FAMILIA</t>
  </si>
  <si>
    <t>1.01.01.02.07.001</t>
  </si>
  <si>
    <t>ADIANTAMENTOS A FORNECEDORES</t>
  </si>
  <si>
    <t>1.01.01.02.07.002</t>
  </si>
  <si>
    <t>ADIANTAMENTOS HONORARIOS MEDICOS</t>
  </si>
  <si>
    <t>1.01.01.02.07.003</t>
  </si>
  <si>
    <t>CREDITOS DE TERCEIROS</t>
  </si>
  <si>
    <t>1.01.01.02.07.004</t>
  </si>
  <si>
    <t>CARTAO DE CREDITO</t>
  </si>
  <si>
    <t>1.01.01.02.07.005</t>
  </si>
  <si>
    <t>CARTAO DE DEBITO</t>
  </si>
  <si>
    <t>SUBVENÇÕES E ASSITÊNCIA GOVERNAMENTAIS A REALIZAR</t>
  </si>
  <si>
    <t>1.01.01.02.07.997</t>
  </si>
  <si>
    <t>(-) PROVISÃO PARA PERDAS EM OUTRAS CONTAS A RECEBER</t>
  </si>
  <si>
    <t>1.01.01.02.07.998</t>
  </si>
  <si>
    <t>ATIVOS NÃO CIRCULANTES MANTIDOS PARA VENDA</t>
  </si>
  <si>
    <t>OUTROS CREDITOS A RECEBER</t>
  </si>
  <si>
    <t>1.01.01.02.08</t>
  </si>
  <si>
    <t>CREDITOS  -  JURIDICOS</t>
  </si>
  <si>
    <t>1.01.01.02.08.001</t>
  </si>
  <si>
    <t>PARTICULARES JURIDICO</t>
  </si>
  <si>
    <t>1.01.01.02.08.002</t>
  </si>
  <si>
    <t>CONVENIOS - JURIDICO</t>
  </si>
  <si>
    <t>1.01.01.02.08.003</t>
  </si>
  <si>
    <t>( - ) PROV.CREDITO LIQUIDACAO DUVIDOSA - JURIDICO</t>
  </si>
  <si>
    <t>1.01.01.02.08.004</t>
  </si>
  <si>
    <t>COBRANÇA JUDICIAL</t>
  </si>
  <si>
    <t>1.01.01.02.09</t>
  </si>
  <si>
    <t>CREDITOS A FATURAR</t>
  </si>
  <si>
    <t>1.01.01.02.09.001</t>
  </si>
  <si>
    <t>1.01.01.02.09.002</t>
  </si>
  <si>
    <t>RECEITAS A FATURAR - CONVENIOS</t>
  </si>
  <si>
    <t>1.01.01.02.09.003</t>
  </si>
  <si>
    <t>(-)EXCLUSÃO (REVERSÃO) DE PROCEDIM. NÃO AUTORIZ. - CONVÊNIOS</t>
  </si>
  <si>
    <t>1.01.01.02.09.004</t>
  </si>
  <si>
    <t>RECEITAS A FATURAR - PARTICULARES</t>
  </si>
  <si>
    <t>1.01.01.02.09.005</t>
  </si>
  <si>
    <t>RECEITAS A FATURAR - SUS</t>
  </si>
  <si>
    <t>1.01.01.02.09.006</t>
  </si>
  <si>
    <t>(+/-) AJUSTE DE VARIABILIDADE DA RECEITA - PARTICULARES</t>
  </si>
  <si>
    <t>1.01.01.02.09.007</t>
  </si>
  <si>
    <t>(+/-) AJUSTE DE VARIABILIDADE DA RECEITA - CONVÊNIOS</t>
  </si>
  <si>
    <t>1.01.01.02.09.008</t>
  </si>
  <si>
    <t>(+/-) AJUSTE DE VARIABILIDADE DA RECEITA -SUS</t>
  </si>
  <si>
    <t>1.01.01.02.10</t>
  </si>
  <si>
    <t>OUTROS DEVEDORES</t>
  </si>
  <si>
    <t>1.01.01.02.10.001</t>
  </si>
  <si>
    <t>DEVEDORES POR PERMUTA</t>
  </si>
  <si>
    <t>MATERIAIS  DE USO DO PACIENTES</t>
  </si>
  <si>
    <t>1.01.01.03.01.009</t>
  </si>
  <si>
    <t>ORTESES E PROTESES PROPRIOS</t>
  </si>
  <si>
    <t>OPME - ORTESES, PROTESES E MATERIAIS ESPECIAIS</t>
  </si>
  <si>
    <t>1.01.01.03.01.011</t>
  </si>
  <si>
    <t>FILMES RADIOLOGICOS</t>
  </si>
  <si>
    <t>1.01.01.03.01.014</t>
  </si>
  <si>
    <t>MATERIAIS LABORATORIAIS</t>
  </si>
  <si>
    <t>1.01.01.03.01.996</t>
  </si>
  <si>
    <t>IMPORTAÇÕES DE ESTOQUES</t>
  </si>
  <si>
    <t>1.01.01.03.01.997</t>
  </si>
  <si>
    <t>PROVISAO PARA PERDAS EM ESTOQUES</t>
  </si>
  <si>
    <t>EMPRESTIMOS DE INSUMOS - CONCEDIDOS</t>
  </si>
  <si>
    <t>( - )EMPRESTIMOS DE INSUMOS - RECEBIDOS</t>
  </si>
  <si>
    <t>1.01.01.04</t>
  </si>
  <si>
    <t>DESPESAS-EXERCICIO SEGUINTE - SAUDE</t>
  </si>
  <si>
    <t>1.01.01.04.01</t>
  </si>
  <si>
    <t>DESPESAS ANTECIPADAS</t>
  </si>
  <si>
    <t>1.01.01.04.01.001</t>
  </si>
  <si>
    <t>PREMIOS SEGUROS A AMORTIZAR</t>
  </si>
  <si>
    <t>1.01.01.04.01.002</t>
  </si>
  <si>
    <t>VALE - TRANSPORTE</t>
  </si>
  <si>
    <t>1.01.01.04.01.003</t>
  </si>
  <si>
    <t>VALE - REFEICAO</t>
  </si>
  <si>
    <t>1.01.01.04.01.004</t>
  </si>
  <si>
    <t>OUTRAS DESPESAS</t>
  </si>
  <si>
    <t>1.01.02</t>
  </si>
  <si>
    <t>ATIVO CIRCULANTE - EDUCACAO</t>
  </si>
  <si>
    <t>1.01.02.01</t>
  </si>
  <si>
    <t>DISPONIVEL - EDUCACAO</t>
  </si>
  <si>
    <t>1.01.02.01.01</t>
  </si>
  <si>
    <t>CAIXA - EDUCACAO</t>
  </si>
  <si>
    <t>1.01.02.01.01.001</t>
  </si>
  <si>
    <t>1.01.02.01.01.002</t>
  </si>
  <si>
    <t>FUNDO FIXO - EDUCACAO</t>
  </si>
  <si>
    <t>1.01.02.01.02</t>
  </si>
  <si>
    <t>BANCOS C/MOVIMENTO - EDUCACAO</t>
  </si>
  <si>
    <t>1.01.02.01.02.001</t>
  </si>
  <si>
    <t>1.01.02.01.02.002</t>
  </si>
  <si>
    <t>1.01.02.01.02.003</t>
  </si>
  <si>
    <t>1.01.02.01.02.004</t>
  </si>
  <si>
    <t>1.01.02.01.02.005</t>
  </si>
  <si>
    <t>1.01.02.01.02.006</t>
  </si>
  <si>
    <t>1.01.02.01.02.007</t>
  </si>
  <si>
    <t>1.01.02.01.02.008</t>
  </si>
  <si>
    <t>1.01.02.01.02.009</t>
  </si>
  <si>
    <t>1.01.02.01.02.010</t>
  </si>
  <si>
    <t>1.01.02.01.02.011</t>
  </si>
  <si>
    <t>1.01.02.01.02.012</t>
  </si>
  <si>
    <t>1.01.02.01.02.013</t>
  </si>
  <si>
    <t>1.01.02.01.02.014</t>
  </si>
  <si>
    <t>1.01.02.01.02.015</t>
  </si>
  <si>
    <t>UNICRED</t>
  </si>
  <si>
    <t>1.01.02.01.03</t>
  </si>
  <si>
    <t>BANCOS CONTAS DE CURTO PRAZO - EDUCACAO</t>
  </si>
  <si>
    <t>1.01.02.01.03.001</t>
  </si>
  <si>
    <t>1.01.02.01.03.002</t>
  </si>
  <si>
    <t>1.01.02.01.03.003</t>
  </si>
  <si>
    <t>1.01.02.01.03.004</t>
  </si>
  <si>
    <t>1.01.02.01.03.005</t>
  </si>
  <si>
    <t>1.01.02.01.03.006</t>
  </si>
  <si>
    <t>1.01.02.01.03.007</t>
  </si>
  <si>
    <t>1.01.02.01.03.008</t>
  </si>
  <si>
    <t>1.01.02.01.03.009</t>
  </si>
  <si>
    <t>1.01.02.01.03.010</t>
  </si>
  <si>
    <t>1.01.02.01.03.011</t>
  </si>
  <si>
    <t>1.01.02.01.03.012</t>
  </si>
  <si>
    <t>1.01.02.01.03.013</t>
  </si>
  <si>
    <t>1.01.02.01.03.014</t>
  </si>
  <si>
    <t>1.01.02.01.03.015</t>
  </si>
  <si>
    <t>1.01.02.01.04</t>
  </si>
  <si>
    <t>VALORES PENDENTES - EDUCACAO</t>
  </si>
  <si>
    <t>1.01.02.01.04.001</t>
  </si>
  <si>
    <t>1.01.02.01.04.002</t>
  </si>
  <si>
    <t>1.01.02.02</t>
  </si>
  <si>
    <t>CREDITOS - EDUCACAO</t>
  </si>
  <si>
    <t>1.01.02.02.01</t>
  </si>
  <si>
    <t>CREDITOS ALUNOS</t>
  </si>
  <si>
    <t>1.01.02.02.01.001</t>
  </si>
  <si>
    <t>EXERCICIOS ANTERIORES</t>
  </si>
  <si>
    <t>1.01.02.02.01.002</t>
  </si>
  <si>
    <t>EXERCICIO ATUAL</t>
  </si>
  <si>
    <t>1.01.02.02.02</t>
  </si>
  <si>
    <t>1.01.02.02.02.001</t>
  </si>
  <si>
    <t>1.01.02.02.03</t>
  </si>
  <si>
    <t>( - ) PROV.P/CREDITO LIQUIDACAO DUVIDOSA</t>
  </si>
  <si>
    <t>1.01.02.02.03.001</t>
  </si>
  <si>
    <t>1.01.02.02.04</t>
  </si>
  <si>
    <t>1.01.02.02.04.001</t>
  </si>
  <si>
    <t>1.01.02.02.04.002</t>
  </si>
  <si>
    <t>1.01.02.02.04.003</t>
  </si>
  <si>
    <t>1.01.02.02.04.004</t>
  </si>
  <si>
    <t>1.01.02.02.04.005</t>
  </si>
  <si>
    <t>1.01.02.02.04.006</t>
  </si>
  <si>
    <t>1.01.02.02.05</t>
  </si>
  <si>
    <t>1.01.02.02.05.001</t>
  </si>
  <si>
    <t>1.01.02.02.05.002</t>
  </si>
  <si>
    <t>1.01.02.02.05.003</t>
  </si>
  <si>
    <t>1.01.02.02.05.004</t>
  </si>
  <si>
    <t>1.01.02.02.05.005</t>
  </si>
  <si>
    <t>1.01.02.02.05.006</t>
  </si>
  <si>
    <t>1.01.02.02.05.007</t>
  </si>
  <si>
    <t>SUBVENÇAO E ASSISTENCIA GOVERNAMENTAIS A REALIZAR</t>
  </si>
  <si>
    <t>1.01.02.02.06</t>
  </si>
  <si>
    <t>1.01.02.02.06.001</t>
  </si>
  <si>
    <t>1.01.02.02.06.002</t>
  </si>
  <si>
    <t>1.01.02.02.06.003</t>
  </si>
  <si>
    <t>1.01.02.02.06.004</t>
  </si>
  <si>
    <t>1.01.02.02.07</t>
  </si>
  <si>
    <t>1.01.02.02.07.001</t>
  </si>
  <si>
    <t>1.01.02.02.08</t>
  </si>
  <si>
    <t>1.01.02.02.08.001</t>
  </si>
  <si>
    <t>1.01.02.03</t>
  </si>
  <si>
    <t>ESTOQUES - EDUCACAO</t>
  </si>
  <si>
    <t>1.01.02.03.01</t>
  </si>
  <si>
    <t>MATERIAIS E GENEROS ALIMENTICIOS</t>
  </si>
  <si>
    <t>1.01.02.03.01.001</t>
  </si>
  <si>
    <t>1.01.02.03.01.002</t>
  </si>
  <si>
    <t>1.01.02.03.01.003</t>
  </si>
  <si>
    <t>1.01.02.03.01.004</t>
  </si>
  <si>
    <t>IMPRESSOS E MAT. DIDATICOS</t>
  </si>
  <si>
    <t>1.01.02.03.01.005</t>
  </si>
  <si>
    <t>1.01.02.03.01.998</t>
  </si>
  <si>
    <t>1.01.02.03.01.999</t>
  </si>
  <si>
    <t>1.01.02.04</t>
  </si>
  <si>
    <t>DESPESAS-EXERCICIO SEGUINTE - EDUCACAO</t>
  </si>
  <si>
    <t>1.01.02.04.01</t>
  </si>
  <si>
    <t>1.01.02.04.01.001</t>
  </si>
  <si>
    <t>1.01.02.04.01.002</t>
  </si>
  <si>
    <t>1.01.02.04.01.003</t>
  </si>
  <si>
    <t>1.01.02.04.01.004</t>
  </si>
  <si>
    <t>1.01.03</t>
  </si>
  <si>
    <t>ATIVO CIRCULANTE - ASSISTENCIA SOCIAL</t>
  </si>
  <si>
    <t>1.01.03.01</t>
  </si>
  <si>
    <t>DISPONIVEL - ASSISTENCIA SOCIAL</t>
  </si>
  <si>
    <t>1.01.03.01.01</t>
  </si>
  <si>
    <t>CAIXA - ASSISTENCIA SOCIAL</t>
  </si>
  <si>
    <t>1.01.03.01.01.001</t>
  </si>
  <si>
    <t>CAIXA - ASSIST. SOCIAL</t>
  </si>
  <si>
    <t>1.01.03.01.01.002</t>
  </si>
  <si>
    <t>FUNDO FIXO - ASSIST. SOCIAL</t>
  </si>
  <si>
    <t>1.01.03.01.02</t>
  </si>
  <si>
    <t>BANCOS C/MOVIMENTO - ASSISTENCIA SOCIAL</t>
  </si>
  <si>
    <t>1.01.03.01.02.001</t>
  </si>
  <si>
    <t>1.01.03.01.02.002</t>
  </si>
  <si>
    <t>1.01.03.01.02.003</t>
  </si>
  <si>
    <t>1.01.03.01.02.004</t>
  </si>
  <si>
    <t>1.01.03.01.02.005</t>
  </si>
  <si>
    <t>1.01.03.01.02.006</t>
  </si>
  <si>
    <t>1.01.03.01.02.007</t>
  </si>
  <si>
    <t>1.01.03.01.02.008</t>
  </si>
  <si>
    <t>1.01.03.01.02.009</t>
  </si>
  <si>
    <t>1.01.03.01.02.010</t>
  </si>
  <si>
    <t>1.01.03.01.02.011</t>
  </si>
  <si>
    <t>1.01.03.01.02.012</t>
  </si>
  <si>
    <t>1.01.03.01.02.013</t>
  </si>
  <si>
    <t>1.01.03.01.02.014</t>
  </si>
  <si>
    <t>1.01.03.01.02.015</t>
  </si>
  <si>
    <t>1.01.03.01.03</t>
  </si>
  <si>
    <t>BANCOS CONTAS DE CURTO PRAZO - ASSISTENCIA SOCIAL</t>
  </si>
  <si>
    <t>1.01.03.01.03.001</t>
  </si>
  <si>
    <t>1.01.03.01.03.002</t>
  </si>
  <si>
    <t>1.01.03.01.03.003</t>
  </si>
  <si>
    <t>1.01.03.01.03.004</t>
  </si>
  <si>
    <t>1.01.03.01.03.005</t>
  </si>
  <si>
    <t>1.01.03.01.03.006</t>
  </si>
  <si>
    <t>1.01.03.01.03.007</t>
  </si>
  <si>
    <t>1.01.03.01.03.008</t>
  </si>
  <si>
    <t>1.01.03.01.03.009</t>
  </si>
  <si>
    <t>1.01.03.01.03.010</t>
  </si>
  <si>
    <t>1.01.03.01.03.011</t>
  </si>
  <si>
    <t>1.01.03.01.03.012</t>
  </si>
  <si>
    <t>1.01.03.01.03.013</t>
  </si>
  <si>
    <t>1.01.03.01.03.014</t>
  </si>
  <si>
    <t>1.01.03.01.03.015</t>
  </si>
  <si>
    <t>1.01.03.01.04</t>
  </si>
  <si>
    <t>VALORES PENDENTES - ASSISTENCIA SOCIAL</t>
  </si>
  <si>
    <t>1.01.03.01.04.001</t>
  </si>
  <si>
    <t>1.01.03.01.04.002</t>
  </si>
  <si>
    <t>1.01.03.02</t>
  </si>
  <si>
    <t>CREDITOS - ASSISTENCIA SOCIAL</t>
  </si>
  <si>
    <t>1.01.03.02.01</t>
  </si>
  <si>
    <t>CREDITOS A RECEBER</t>
  </si>
  <si>
    <t>1.01.03.02.01.001</t>
  </si>
  <si>
    <t>1.01.03.02.01.002</t>
  </si>
  <si>
    <t>1.01.03.02.02</t>
  </si>
  <si>
    <t>1.01.03.02.02.001</t>
  </si>
  <si>
    <t>1.01.03.02.02.002</t>
  </si>
  <si>
    <t>1.01.03.02.02.003</t>
  </si>
  <si>
    <t>1.01.03.02.02.004</t>
  </si>
  <si>
    <t>1.01.03.02.02.005</t>
  </si>
  <si>
    <t>1.01.03.02.02.006</t>
  </si>
  <si>
    <t>1.01.03.02.03</t>
  </si>
  <si>
    <t>1.01.03.02.03.001</t>
  </si>
  <si>
    <t>1.01.03.02.03.002</t>
  </si>
  <si>
    <t>1.01.03.02.03.003</t>
  </si>
  <si>
    <t>1.01.03.02.03.004</t>
  </si>
  <si>
    <t>1.01.03.02.03.005</t>
  </si>
  <si>
    <t>1.01.03.02.03.006</t>
  </si>
  <si>
    <t>SUBVENÇÃO E ASSISTENCIA GORVENAMENTAIS A REALIZAR</t>
  </si>
  <si>
    <t>1.01.03.02.04</t>
  </si>
  <si>
    <t>1.01.03.02.04.001</t>
  </si>
  <si>
    <t>1.01.03.02.04.002</t>
  </si>
  <si>
    <t>1.01.03.02.04.003</t>
  </si>
  <si>
    <t>1.01.03.02.04.004</t>
  </si>
  <si>
    <t>1.01.03.02.05</t>
  </si>
  <si>
    <t>1.01.03.02.05.001</t>
  </si>
  <si>
    <t>1.01.03.02.06</t>
  </si>
  <si>
    <t>1.01.03.02.06.001</t>
  </si>
  <si>
    <t>1.01.03.03</t>
  </si>
  <si>
    <t>ESTOQUES - ASSISTENCIA SOCIAL</t>
  </si>
  <si>
    <t>1.01.03.03.01</t>
  </si>
  <si>
    <t>1.01.03.03.01.001</t>
  </si>
  <si>
    <t>1.01.03.03.01.002</t>
  </si>
  <si>
    <t>1.01.03.03.01.003</t>
  </si>
  <si>
    <t>1.01.03.03.01.004</t>
  </si>
  <si>
    <t>1.01.03.03.01.005</t>
  </si>
  <si>
    <t>1.01.03.03.01.006</t>
  </si>
  <si>
    <t>EQUIPAMENTOS DE PROTEÇÃO</t>
  </si>
  <si>
    <t>1.01.03.03.01.998</t>
  </si>
  <si>
    <t>1.01.03.03.01.999</t>
  </si>
  <si>
    <t>1.01.03.04</t>
  </si>
  <si>
    <t>DESPESAS-EXERCICIO SEGUINTE - ASSISTENCIA SOCIAL</t>
  </si>
  <si>
    <t>1.01.03.04.01</t>
  </si>
  <si>
    <t>1.01.03.04.01.001</t>
  </si>
  <si>
    <t>1.01.03.04.01.002</t>
  </si>
  <si>
    <t>1.01.03.04.01.003</t>
  </si>
  <si>
    <t>1.01.03.04.01.004</t>
  </si>
  <si>
    <t>1.02.01.01</t>
  </si>
  <si>
    <t>REALIZAVEL - LONGO PRAZO - SAUDE</t>
  </si>
  <si>
    <t>1.02.01.01.01</t>
  </si>
  <si>
    <t>CONTAS A RECEBER</t>
  </si>
  <si>
    <t>1.02.01.01.01.001</t>
  </si>
  <si>
    <t>1.02.01.01.01.002</t>
  </si>
  <si>
    <t>TITULOS A RECEBER</t>
  </si>
  <si>
    <t>1.02.01.01.01.003</t>
  </si>
  <si>
    <t>IMPOSTOS E CONTRIBUICOES A RECUPERAR</t>
  </si>
  <si>
    <t>1.02.01.01.01.999</t>
  </si>
  <si>
    <t>( - ) PROV.CREDITO LIQUIDACAO DUVIDOSA - C/RECEBER LP</t>
  </si>
  <si>
    <t>1.02.01.01.02</t>
  </si>
  <si>
    <t>VALORES EM CONTINGENCIA</t>
  </si>
  <si>
    <t>1.02.01.01.02.001</t>
  </si>
  <si>
    <t>1.02.01.01.03</t>
  </si>
  <si>
    <t>CREDITOS - JURIDICOS</t>
  </si>
  <si>
    <t>1.02.01.01.03.001</t>
  </si>
  <si>
    <t>PARTICULAR - JURIDICO</t>
  </si>
  <si>
    <t>1.02.01.01.03.002</t>
  </si>
  <si>
    <t>CONVENIO - JURIDICO</t>
  </si>
  <si>
    <t>1.02.01.01.03.003</t>
  </si>
  <si>
    <t>DEPOSITO RECURSAL</t>
  </si>
  <si>
    <t>1.02.01.01.03.004</t>
  </si>
  <si>
    <t>COBRANCA JUDICIAL</t>
  </si>
  <si>
    <t>1.02.01.01.03.005</t>
  </si>
  <si>
    <t>SUS - JURIDICO</t>
  </si>
  <si>
    <t>1.02.01.01.03.999</t>
  </si>
  <si>
    <t>1.02.01.01.04</t>
  </si>
  <si>
    <t>FUNDO DE RESERVA PATRIMONIAL</t>
  </si>
  <si>
    <t>1.02.01.01.04.001</t>
  </si>
  <si>
    <t>1.02.01.01.04.002</t>
  </si>
  <si>
    <t>1.02.01.01.04.003</t>
  </si>
  <si>
    <t>1.02.01.01.04.004</t>
  </si>
  <si>
    <t>CONDOMINIO EDIFICIO SANTA CATARINA</t>
  </si>
  <si>
    <t>1.02.01.01.04.005</t>
  </si>
  <si>
    <t>RESERVA FINANCEIRA DE CONTIGENCIA</t>
  </si>
  <si>
    <t>1.02.01.01.04.006</t>
  </si>
  <si>
    <t>RESERVA FINANCEIRA DE INVESTIMENTO</t>
  </si>
  <si>
    <t>1.02.01.01.04.007</t>
  </si>
  <si>
    <t>RESERVA FINANCEIRA DE CUSTEIO</t>
  </si>
  <si>
    <t>1.02.01.01.04.008</t>
  </si>
  <si>
    <t>1.02.01.01.04.009</t>
  </si>
  <si>
    <t>1.02.01.01.05</t>
  </si>
  <si>
    <t>OUTROS CRÉDITOS L.P</t>
  </si>
  <si>
    <t>1.02.01.01.05.001</t>
  </si>
  <si>
    <t>SUBVENÇÕES E ASSISTÊNCIA GOVERNAMENTAIS A REALIZAR L.P</t>
  </si>
  <si>
    <t>1.02.01.01.06</t>
  </si>
  <si>
    <t>DESPESAS ANTECIPADAS L.P</t>
  </si>
  <si>
    <t>1.02.01.01.06.001</t>
  </si>
  <si>
    <t>PREMIOS SEGUROS E GARANTIAS A AMORTIZAR L.P</t>
  </si>
  <si>
    <t>1.02.01.02</t>
  </si>
  <si>
    <t>INVESTIMENTOS - SAUDE</t>
  </si>
  <si>
    <t>1.02.01.02.01</t>
  </si>
  <si>
    <t>INVESTIMENTOS</t>
  </si>
  <si>
    <t>1.02.01.02.01.001</t>
  </si>
  <si>
    <t>ACOES DE OUTRAS EMPRESAS</t>
  </si>
  <si>
    <t>1.02.01.03.01.001</t>
  </si>
  <si>
    <t>TERRENOS</t>
  </si>
  <si>
    <t>1.02.01.03.01.002</t>
  </si>
  <si>
    <t>EDIFICACOES</t>
  </si>
  <si>
    <t>1.02.01.03.01.003</t>
  </si>
  <si>
    <t>JAZIGOS E CAMPAS</t>
  </si>
  <si>
    <t>1.02.01.03.01.004</t>
  </si>
  <si>
    <t>INSTALACOES</t>
  </si>
  <si>
    <t>1.02.01.03.01.005</t>
  </si>
  <si>
    <t>APARELHOS MEDICINA E CIRURGIA</t>
  </si>
  <si>
    <t>1.02.01.03.01.006</t>
  </si>
  <si>
    <t>1.02.01.03.01.007</t>
  </si>
  <si>
    <t>1.02.01.03.01.008</t>
  </si>
  <si>
    <t>VEICULOS</t>
  </si>
  <si>
    <t>EQUIPAMENTOS DE PROCESSAMENTO DE DADOS</t>
  </si>
  <si>
    <t>1.02.01.03.01.010</t>
  </si>
  <si>
    <t>BIBLIOTECA</t>
  </si>
  <si>
    <t>1.02.01.03.01.011</t>
  </si>
  <si>
    <t>INSTRUMENTOS SONOROS</t>
  </si>
  <si>
    <t>1.02.01.03.01.012</t>
  </si>
  <si>
    <t>BENFEITORIAS</t>
  </si>
  <si>
    <t>1.02.01.03.01.013</t>
  </si>
  <si>
    <t>TERRENOS REAVALIADOS</t>
  </si>
  <si>
    <t>1.02.01.03.01.014</t>
  </si>
  <si>
    <t>EDIFICACOES REAVALIADOS</t>
  </si>
  <si>
    <t>1.02.01.03.01.015</t>
  </si>
  <si>
    <t>GASTOS PRE OPERACIONAIS</t>
  </si>
  <si>
    <t>1.02.01.03.01.016</t>
  </si>
  <si>
    <t>OBRAS DE ARTE</t>
  </si>
  <si>
    <t>1.02.01.03.01.017</t>
  </si>
  <si>
    <t>OUTROS ATIVOS</t>
  </si>
  <si>
    <t>1.02.01.03.01.018</t>
  </si>
  <si>
    <t>BENS ARRENDADOS</t>
  </si>
  <si>
    <t>1.02.01.03.01.998</t>
  </si>
  <si>
    <t>ADIANTAMENTO PARA AQUISIÇÃO DE ATIVOS IMOBILIZADOS</t>
  </si>
  <si>
    <t>1.02.01.03.01.999</t>
  </si>
  <si>
    <t>BENS ADQUIRIDOS A IMOBILIZAR</t>
  </si>
  <si>
    <t>1.02.01.03.02</t>
  </si>
  <si>
    <t>IMOBILIZACOES EM ANDAMENTO</t>
  </si>
  <si>
    <t>1.02.01.03.02.001</t>
  </si>
  <si>
    <t>CONSTRUCOES EM ANDAMENTO</t>
  </si>
  <si>
    <t>1.02.01.03.02.002</t>
  </si>
  <si>
    <t>IMPORTACOES EM ANDAMENTO</t>
  </si>
  <si>
    <t>1.02.01.03.03.001</t>
  </si>
  <si>
    <t>( - ) DEPR.ACUM. EDIFICACOES</t>
  </si>
  <si>
    <t>1.02.01.03.03.002</t>
  </si>
  <si>
    <t>( - ) DEPR.ACUM. JAZIGOS E CAMPAS</t>
  </si>
  <si>
    <t>1.02.01.03.03.003</t>
  </si>
  <si>
    <t>( - ) DEPR.ACUM.INSTALACOES</t>
  </si>
  <si>
    <t>1.02.01.03.03.004</t>
  </si>
  <si>
    <t>( - ) DEPR.ACUM.APARELHOS MEDICINA E CIRURGIA</t>
  </si>
  <si>
    <t>1.02.01.03.03.005</t>
  </si>
  <si>
    <t>( - ) DEPR.ACUM.INSTRUMENTOS DE CIRURGIA</t>
  </si>
  <si>
    <t>1.02.01.03.03.006</t>
  </si>
  <si>
    <t>( - ) DEPR.ACUM.MOVEIS E MAQUINAS</t>
  </si>
  <si>
    <t>1.02.01.03.03.007</t>
  </si>
  <si>
    <t>( - ) DEPR.ACUM.VEICULOS</t>
  </si>
  <si>
    <t>( - ) DEPR.ACUM.EQUIPAMENTOS PROCESSAMENTO DE DADOS</t>
  </si>
  <si>
    <t>1.02.01.03.03.009</t>
  </si>
  <si>
    <t>( - ) DEPR.ACUM.BIBLIOTECA</t>
  </si>
  <si>
    <t>1.02.01.03.03.010</t>
  </si>
  <si>
    <t>( - ) DEPR.ACUM.INSTRUMENTOS SONOROS</t>
  </si>
  <si>
    <t>1.02.01.03.03.011</t>
  </si>
  <si>
    <t>( - ) DEPR.ACUM.BENFEITORIAS</t>
  </si>
  <si>
    <t>1.02.01.03.03.012</t>
  </si>
  <si>
    <t>( - ) DEPR.ACUM.OUTROS ATIVOS</t>
  </si>
  <si>
    <t>1.02.01.03.03.013</t>
  </si>
  <si>
    <t>( - ) DEPR.ACUM.BENS ARRENDADOS</t>
  </si>
  <si>
    <t>1.02.01.03.03.014</t>
  </si>
  <si>
    <t>(-) DEPR.ACUM.DE EDIFICAÇÕES REAVALIADAS</t>
  </si>
  <si>
    <t>1.02.01.03.04.005</t>
  </si>
  <si>
    <t>VEICULOS - GP</t>
  </si>
  <si>
    <t>EQUIPAMENTOS DE PROCESSAMENTO DE DADOS - GP</t>
  </si>
  <si>
    <t>1.02.01.03.04.007</t>
  </si>
  <si>
    <t>INSTRUMENTOS SONOROS - GP</t>
  </si>
  <si>
    <t>1.02.01.03.04.009</t>
  </si>
  <si>
    <t>BENS ARRENDADOS - GP</t>
  </si>
  <si>
    <t>1.02.01.03.05</t>
  </si>
  <si>
    <t>IMOB. EM ANDAMENTO - GESTAO PUBLICA.</t>
  </si>
  <si>
    <t>1.02.01.03.05.001</t>
  </si>
  <si>
    <t>CONSTRUCOES EM ANDAMENTO - GP</t>
  </si>
  <si>
    <t>1.02.01.03.05.002</t>
  </si>
  <si>
    <t>IMPORTACOES EM ANDAMENTO - GP</t>
  </si>
  <si>
    <t>1.02.01.03.05.003</t>
  </si>
  <si>
    <t>(-) DEPR.ACUMULADAS - GESTAO PUBLICA.</t>
  </si>
  <si>
    <t>( - ) DEPR.ACUM.APARELHOS MEDICINA E CIRURGIA - GP</t>
  </si>
  <si>
    <t>( - ) DEPR.ACUM.INSTRUMENTOS MEDICINA E CIRURGIA - GP</t>
  </si>
  <si>
    <t>( - ) DEPR.ACUM.MOVEIS E MAQUINAS - GP</t>
  </si>
  <si>
    <t>1.02.01.03.06.005</t>
  </si>
  <si>
    <t>( - ) DEPR.ACUM.VEICULOS - GP</t>
  </si>
  <si>
    <t>( - ) DEPR.ACUM.EQUIPAMENTOS PROCESSAMENTO DE DADOS - GP</t>
  </si>
  <si>
    <t>1.02.01.03.06.007</t>
  </si>
  <si>
    <t>( - ) DEPR.ACUM.INSTRUMENTOS SONOROS - GP</t>
  </si>
  <si>
    <t>1.02.01.03.06.009</t>
  </si>
  <si>
    <t>( - ) DEPR.ACUM.BENS ARRENDADOS - GP</t>
  </si>
  <si>
    <t>1.02.01.03.07</t>
  </si>
  <si>
    <t>PROVISÃO PARA REDUÇAO DO VALOR DE ATIVOS</t>
  </si>
  <si>
    <t>1.02.01.03.07.001</t>
  </si>
  <si>
    <t>INSTALAÇÕES</t>
  </si>
  <si>
    <t>1.02.01.03.07.002</t>
  </si>
  <si>
    <t>1.02.01.03.07.003</t>
  </si>
  <si>
    <t>INSTRUMENTOS DE MEDICINA</t>
  </si>
  <si>
    <t>1.02.01.03.07.004</t>
  </si>
  <si>
    <t>1.02.01.03.07.005</t>
  </si>
  <si>
    <t>1.02.01.03.07.006</t>
  </si>
  <si>
    <t>1.02.01.03.07.007</t>
  </si>
  <si>
    <t>1.02.01.03.07.008</t>
  </si>
  <si>
    <t>1.02.01.04.01</t>
  </si>
  <si>
    <t>INTANGIVEL</t>
  </si>
  <si>
    <t>1.02.01.04.01.001</t>
  </si>
  <si>
    <t>DIREITO DE USO DE LINHA TELEFONICA</t>
  </si>
  <si>
    <t>1.02.01.04.01.002</t>
  </si>
  <si>
    <t>MARCAS E PATENTES</t>
  </si>
  <si>
    <t>1.02.01.04.01.003</t>
  </si>
  <si>
    <t>DIREITO DE USO DE SOFTWARE</t>
  </si>
  <si>
    <t>1.02.01.04.01.999</t>
  </si>
  <si>
    <t>ADIANTAMENTO PARA AQUISIÇÃO DE ATIVOS INTANGÍVEIS</t>
  </si>
  <si>
    <t>1.02.01.04.02</t>
  </si>
  <si>
    <t>( - ) AMORTIZACOES ACUMULADAS.</t>
  </si>
  <si>
    <t>1.02.01.04.02.001</t>
  </si>
  <si>
    <t>( - ) AMORTIZACAO ACUM.SOFTWARE</t>
  </si>
  <si>
    <t>1.02.01.04.03.001</t>
  </si>
  <si>
    <t>DIREITO DE USO DE LINHA TELEFONICA - GP</t>
  </si>
  <si>
    <t>1.02.01.04.03.003</t>
  </si>
  <si>
    <t>ADIANTAMENTO PARA AQUISIÇÃO DE ATIVOS INTANGIVEIS</t>
  </si>
  <si>
    <t>( - ) AMORTIZACOES ACUMULADAS - GESTAO PUBLICA</t>
  </si>
  <si>
    <t>( - ) AMORTIZACAO ACUM.SOFTWARE - GP</t>
  </si>
  <si>
    <t>DIREITO DE USO DE ARRENDAMENTOS - SAUDE</t>
  </si>
  <si>
    <t>ATIVOS FIXOS DE ARRENDAMENTOS - SAUDE</t>
  </si>
  <si>
    <t>1.02.01.05.01.001</t>
  </si>
  <si>
    <t>1.02.01.05.01.002</t>
  </si>
  <si>
    <t>1.02.01.05.01.003</t>
  </si>
  <si>
    <t>1.02.01.05.01.004</t>
  </si>
  <si>
    <t>1.02.01.05.01.006</t>
  </si>
  <si>
    <t>1.02.01.05.01.007</t>
  </si>
  <si>
    <t>1.02.01.05.01.008</t>
  </si>
  <si>
    <t>1.02.01.05.01.009</t>
  </si>
  <si>
    <t>ARRENDAMENTOS A TOMBAR</t>
  </si>
  <si>
    <t>1.02.01.05.01.010</t>
  </si>
  <si>
    <t>BENFEITORIAS EM ATIVOS ARRENDADOS</t>
  </si>
  <si>
    <t>1.02.01.05.01.011</t>
  </si>
  <si>
    <t>CONTRUCOES EM ANDAMENTOS EM ATIVOS DE ARRENDAMEN</t>
  </si>
  <si>
    <t>1.02.01.05.01.012</t>
  </si>
  <si>
    <t>ARRENDAMENTOS A IDENTIFICAR</t>
  </si>
  <si>
    <t>(-)DEPRECIACOES ACUMULADAS DE ARRENDAMENTOS - SAUD</t>
  </si>
  <si>
    <t>1.02.01.05.02.001</t>
  </si>
  <si>
    <t>(-) DEPR.ACUM.EDIFICACOES</t>
  </si>
  <si>
    <t>1.02.01.05.02.002</t>
  </si>
  <si>
    <t>(-) DEPR.ACUM.INSTALACOES</t>
  </si>
  <si>
    <t>1.02.01.05.02.003</t>
  </si>
  <si>
    <t>(-) DEPR.ACUM.APARELHOS MEDICINA E CIRURGIA</t>
  </si>
  <si>
    <t>1.02.01.05.02.004</t>
  </si>
  <si>
    <t>(-) DEPR.ACUM.INTRUMENTOS DE CIRURGIA</t>
  </si>
  <si>
    <t>1.02.01.05.02.006</t>
  </si>
  <si>
    <t>(-) DEPR.ACUM.VEICULOS</t>
  </si>
  <si>
    <t>1.02.01.05.02.007</t>
  </si>
  <si>
    <t>(-) DEPR.ACUM.EQUIPAMENTOS PROCESSAMENTO DE DADOS</t>
  </si>
  <si>
    <t>1.02.01.05.02.008</t>
  </si>
  <si>
    <t>(-) DEPR.ACUM.OUTROS ATIVOS</t>
  </si>
  <si>
    <t>1.02.01.05.02.009</t>
  </si>
  <si>
    <t>(-)AMORT.ACUM.DE BENFEITORIAS EM ATIVOS ARRENDADOS</t>
  </si>
  <si>
    <t>1.02.02</t>
  </si>
  <si>
    <t>ATIVO NAO CIRCULANTE - EDUCACAO</t>
  </si>
  <si>
    <t>1.02.02.01</t>
  </si>
  <si>
    <t>REALIZAVEL - LONGO PRAZO - EDUCACAO</t>
  </si>
  <si>
    <t>1.02.02.01.01</t>
  </si>
  <si>
    <t>1.02.02.01.01.001</t>
  </si>
  <si>
    <t>1.02.02.01.01.002</t>
  </si>
  <si>
    <t>1.02.02.01.01.003</t>
  </si>
  <si>
    <t>1.02.02.01.01.004</t>
  </si>
  <si>
    <t>1.02.02.01.02</t>
  </si>
  <si>
    <t>1.02.02.01.02.001</t>
  </si>
  <si>
    <t>1.02.02.01.03</t>
  </si>
  <si>
    <t>1.02.02.01.03.001</t>
  </si>
  <si>
    <t>1.02.02.01.03.002</t>
  </si>
  <si>
    <t>1.02.02.01.03.003</t>
  </si>
  <si>
    <t>1.02.02.01.03.004</t>
  </si>
  <si>
    <t>1.02.02.01.03.999</t>
  </si>
  <si>
    <t>1.02.02.01.04</t>
  </si>
  <si>
    <t>1.02.02.01.04.001</t>
  </si>
  <si>
    <t>1.02.02.01.04.002</t>
  </si>
  <si>
    <t>1.02.02.01.04.003</t>
  </si>
  <si>
    <t>1.02.02.01.05</t>
  </si>
  <si>
    <t>OUTROS CREDITOS L.P</t>
  </si>
  <si>
    <t>1.02.02.01.05.001</t>
  </si>
  <si>
    <t>SUBVENCAO E ASSISTENCIA GOVERNAMENTAIS A REALIZAR L.P</t>
  </si>
  <si>
    <t>1.02.02.01.06</t>
  </si>
  <si>
    <t>1.02.02.01.06.001</t>
  </si>
  <si>
    <t>1.02.02.02</t>
  </si>
  <si>
    <t>INVESTIMENTOS - EDUCACAO</t>
  </si>
  <si>
    <t>1.02.02.02.01</t>
  </si>
  <si>
    <t>1.02.02.02.01.001</t>
  </si>
  <si>
    <t>1.02.02.03</t>
  </si>
  <si>
    <t>IMOBILIZADO - EDUCACAO</t>
  </si>
  <si>
    <t>1.02.02.03.01</t>
  </si>
  <si>
    <t>1.02.02.03.01.001</t>
  </si>
  <si>
    <t>1.02.02.03.01.002</t>
  </si>
  <si>
    <t>1.02.02.03.01.003</t>
  </si>
  <si>
    <t>1.02.02.03.01.004</t>
  </si>
  <si>
    <t>1.02.02.03.01.005</t>
  </si>
  <si>
    <t>1.02.02.03.01.006</t>
  </si>
  <si>
    <t>1.02.02.03.01.007</t>
  </si>
  <si>
    <t>1.02.02.03.01.008</t>
  </si>
  <si>
    <t>1.02.02.03.01.009</t>
  </si>
  <si>
    <t>EQUIPAMENTOS LABORATORIO ESCOLAR</t>
  </si>
  <si>
    <t>1.02.02.03.01.010</t>
  </si>
  <si>
    <t>1.02.02.03.01.011</t>
  </si>
  <si>
    <t>1.02.02.03.01.012</t>
  </si>
  <si>
    <t>1.02.02.03.01.013</t>
  </si>
  <si>
    <t>1.02.02.03.01.014</t>
  </si>
  <si>
    <t>1.02.02.03.01.015</t>
  </si>
  <si>
    <t>1.02.02.03.01.016</t>
  </si>
  <si>
    <t>1.02.02.03.01.998</t>
  </si>
  <si>
    <t>1.02.02.03.01.999</t>
  </si>
  <si>
    <t>1.02.02.03.02</t>
  </si>
  <si>
    <t>1.02.02.03.02.001</t>
  </si>
  <si>
    <t>1.02.02.03.02.002</t>
  </si>
  <si>
    <t>1.02.02.03.03</t>
  </si>
  <si>
    <t>1.02.02.03.03.001</t>
  </si>
  <si>
    <t>1.02.02.03.03.002</t>
  </si>
  <si>
    <t>1.02.02.03.03.003</t>
  </si>
  <si>
    <t>1.02.02.03.03.004</t>
  </si>
  <si>
    <t>1.02.02.03.03.005</t>
  </si>
  <si>
    <t>1.02.02.03.03.006</t>
  </si>
  <si>
    <t>1.02.02.03.03.007</t>
  </si>
  <si>
    <t>1.02.02.03.03.008</t>
  </si>
  <si>
    <t>( - ) DEPR.ACUM.EQUIPAMENTOS LABORATORIO ESCOLAR</t>
  </si>
  <si>
    <t>1.02.02.03.03.009</t>
  </si>
  <si>
    <t>1.02.02.03.03.010</t>
  </si>
  <si>
    <t>1.02.02.03.03.011</t>
  </si>
  <si>
    <t>1.02.02.03.04</t>
  </si>
  <si>
    <t>IMOBILIZADO - GESTAO PUBLICA</t>
  </si>
  <si>
    <t>1.02.02.03.04.001</t>
  </si>
  <si>
    <t>INSTALAÇOES - GP</t>
  </si>
  <si>
    <t>1.02.02.03.04.002</t>
  </si>
  <si>
    <t>MOVEIS E MAQUINAS. - GP</t>
  </si>
  <si>
    <t>1.02.02.03.04.003</t>
  </si>
  <si>
    <t>VEICULOS. - GP</t>
  </si>
  <si>
    <t>1.02.02.03.04.004</t>
  </si>
  <si>
    <t>EQUIPAMENTOS DE PROCESSAMENTO DE DADOS. - GP</t>
  </si>
  <si>
    <t>1.02.02.03.04.005</t>
  </si>
  <si>
    <t>BIBLIOTECA - GP</t>
  </si>
  <si>
    <t>1.02.02.03.04.006</t>
  </si>
  <si>
    <t>EQUIPAMENTOS LABORATORIO ESCOLAR - GP</t>
  </si>
  <si>
    <t>1.02.02.03.04.007</t>
  </si>
  <si>
    <t>BENFEITORIAS. - GP</t>
  </si>
  <si>
    <t>1.02.02.03.04.008</t>
  </si>
  <si>
    <t>BENS ADQUIRIDOS A IMOBILIZAR. - GP</t>
  </si>
  <si>
    <t>1.02.02.03.05</t>
  </si>
  <si>
    <t>IMOB. EM ANDAMENTO - GESTÃO PUBLICA</t>
  </si>
  <si>
    <t>1.02.02.03.05.001</t>
  </si>
  <si>
    <t>CONSTRUÇÕES EM ANDAMENTO - GP</t>
  </si>
  <si>
    <t>1.02.02.03.05.002</t>
  </si>
  <si>
    <t>IMPORTAÇÕES EM ANDAMENTO - GP</t>
  </si>
  <si>
    <t>1.02.02.03.06</t>
  </si>
  <si>
    <t>(-) DEPRE. ACUMULADAS - GESTÃO PUBLICA</t>
  </si>
  <si>
    <t>1.02.02.03.06.001</t>
  </si>
  <si>
    <t>(-) DEPRE. ACUM INSTALACOES - GP</t>
  </si>
  <si>
    <t>1.02.02.03.06.002</t>
  </si>
  <si>
    <t>(-) DEPRE. ACUM MOVEIS E MAQUINAS - GP</t>
  </si>
  <si>
    <t>1.02.02.03.06.003</t>
  </si>
  <si>
    <t>(-) DEPRE. ACUM. VEICULOS - GP</t>
  </si>
  <si>
    <t>1.02.02.03.06.004</t>
  </si>
  <si>
    <t>(-) DEPRE. ACUM. EQUIPAMENTOS PROCESSAMENTO DE DADOS - GP</t>
  </si>
  <si>
    <t>1.02.02.03.06.005</t>
  </si>
  <si>
    <t>(-) BIBLIOTECA - GP</t>
  </si>
  <si>
    <t>1.02.02.03.06.006</t>
  </si>
  <si>
    <t>(-) EQUIPAMENTOS LABORATORIO ESCOLAR - GP</t>
  </si>
  <si>
    <t>1.02.02.03.06.007</t>
  </si>
  <si>
    <t>(-) DEPRE. ACUM. BENFEITORIAS - GP</t>
  </si>
  <si>
    <t>1.02.02.04</t>
  </si>
  <si>
    <t>INTANGIVEL - EDUCACAO</t>
  </si>
  <si>
    <t>1.02.02.04.01</t>
  </si>
  <si>
    <t>1.02.02.04.01.001</t>
  </si>
  <si>
    <t>1.02.02.04.01.002</t>
  </si>
  <si>
    <t>1.02.02.04.01.003</t>
  </si>
  <si>
    <t>1.02.02.04.01.999</t>
  </si>
  <si>
    <t>1.02.02.04.02</t>
  </si>
  <si>
    <t>1.02.02.04.02.001</t>
  </si>
  <si>
    <t>( - ) AMORTIZACAO ACUM. .SOFTWARE</t>
  </si>
  <si>
    <t>1.02.02.04.03</t>
  </si>
  <si>
    <t>INTANGIVEL - GESTÃO PUBLICA</t>
  </si>
  <si>
    <t>1.02.02.04.03.001</t>
  </si>
  <si>
    <t>DIREITO DE USO DE LINHA TELEFONICA. - GP</t>
  </si>
  <si>
    <t>1.02.02.04.03.002</t>
  </si>
  <si>
    <t>DIREITO DE USO DE SOFTWARE. - GP</t>
  </si>
  <si>
    <t>1.02.02.04.04</t>
  </si>
  <si>
    <t>AMORTIZACOES ACUMULADAS - GESTAO PUBLICA</t>
  </si>
  <si>
    <t>1.02.02.04.04.001</t>
  </si>
  <si>
    <t>(-) AMORTIZACAO ACUM. SOFTWARE - GP</t>
  </si>
  <si>
    <t>1.02.03</t>
  </si>
  <si>
    <t>ATIVO NAO CIRCULANTE - ASSISTENCIA SOCIAL</t>
  </si>
  <si>
    <t>1.02.03.01</t>
  </si>
  <si>
    <t>REALIZAVEL - LONGO PRAZO - ASSISTENCIA SOCIAL</t>
  </si>
  <si>
    <t>1.02.03.01.01</t>
  </si>
  <si>
    <t>1.02.03.01.01.001</t>
  </si>
  <si>
    <t>1.02.03.01.01.002</t>
  </si>
  <si>
    <t>1.02.03.01.01.003</t>
  </si>
  <si>
    <t>1.02.03.01.01.999</t>
  </si>
  <si>
    <t>1.02.03.01.02</t>
  </si>
  <si>
    <t>1.02.03.01.02.001</t>
  </si>
  <si>
    <t>1.02.03.01.03</t>
  </si>
  <si>
    <t>1.02.03.01.03.001</t>
  </si>
  <si>
    <t>1.02.03.01.03.002</t>
  </si>
  <si>
    <t>1.02.03.01.03.003</t>
  </si>
  <si>
    <t>1.02.03.01.03.004</t>
  </si>
  <si>
    <t>1.02.03.01.04</t>
  </si>
  <si>
    <t>OUTROS CREDITOS  L.P</t>
  </si>
  <si>
    <t>1.02.03.01.04.001</t>
  </si>
  <si>
    <t>SUBVENCAO E ASSISTENCIA GOVERNAMENTAIS A REALIZAR L.P.</t>
  </si>
  <si>
    <t>1.02.03.01.05</t>
  </si>
  <si>
    <t>1.02.03.01.05.001</t>
  </si>
  <si>
    <t>1.02.03.02</t>
  </si>
  <si>
    <t>INVESTIMENTOS - ASSISTENCIA SOCIAL</t>
  </si>
  <si>
    <t>1.02.03.02.01</t>
  </si>
  <si>
    <t>1.02.03.02.01.001</t>
  </si>
  <si>
    <t>1.02.03.03</t>
  </si>
  <si>
    <t>IMOBILIZADO - ASSISTENCIA SOCIAL</t>
  </si>
  <si>
    <t>1.02.03.03.01</t>
  </si>
  <si>
    <t>1.02.03.03.01.001</t>
  </si>
  <si>
    <t>1.02.03.03.01.002</t>
  </si>
  <si>
    <t>1.02.03.03.01.003</t>
  </si>
  <si>
    <t>1.02.03.03.01.004</t>
  </si>
  <si>
    <t>1.02.03.03.01.005</t>
  </si>
  <si>
    <t>1.02.03.03.01.006</t>
  </si>
  <si>
    <t>1.02.03.03.01.007</t>
  </si>
  <si>
    <t>1.02.03.03.01.008</t>
  </si>
  <si>
    <t>1.02.03.03.01.009</t>
  </si>
  <si>
    <t>1.02.03.03.01.010</t>
  </si>
  <si>
    <t>1.02.03.03.01.011</t>
  </si>
  <si>
    <t>1.02.03.03.01.012</t>
  </si>
  <si>
    <t>1.02.03.03.01.013</t>
  </si>
  <si>
    <t>1.02.03.03.01.014</t>
  </si>
  <si>
    <t>1.02.03.03.01.015</t>
  </si>
  <si>
    <t>1.02.03.03.01.016</t>
  </si>
  <si>
    <t>1.02.03.03.01.017</t>
  </si>
  <si>
    <t>1.02.03.03.01.018</t>
  </si>
  <si>
    <t>1.02.03.03.01.998</t>
  </si>
  <si>
    <t>1.02.03.03.01.999</t>
  </si>
  <si>
    <t>1.02.03.03.02</t>
  </si>
  <si>
    <t>1.02.03.03.02.001</t>
  </si>
  <si>
    <t>1.02.03.03.02.002</t>
  </si>
  <si>
    <t>1.02.03.03.03</t>
  </si>
  <si>
    <t>1.02.03.03.03.001</t>
  </si>
  <si>
    <t>1.02.03.03.03.002</t>
  </si>
  <si>
    <t>1.02.03.03.03.003</t>
  </si>
  <si>
    <t>1.02.03.03.03.004</t>
  </si>
  <si>
    <t>1.02.03.03.03.005</t>
  </si>
  <si>
    <t>( - ) DEPR.ACUM.INSTRUMENTOS MEDICINA E CIRURGIA</t>
  </si>
  <si>
    <t>1.02.03.03.03.006</t>
  </si>
  <si>
    <t>1.02.03.03.03.007</t>
  </si>
  <si>
    <t>1.02.03.03.03.008</t>
  </si>
  <si>
    <t>1.02.03.03.03.009</t>
  </si>
  <si>
    <t>1.02.03.03.03.010</t>
  </si>
  <si>
    <t>1.02.03.03.03.011</t>
  </si>
  <si>
    <t>1.02.03.03.03.012</t>
  </si>
  <si>
    <t>1.02.03.03.03.013</t>
  </si>
  <si>
    <t>1.02.03.03.03.014</t>
  </si>
  <si>
    <t>1.02.03.04</t>
  </si>
  <si>
    <t>INTANGIVEL - ASSISTENCIA SOCIAL</t>
  </si>
  <si>
    <t>1.02.03.04.01</t>
  </si>
  <si>
    <t>1.02.03.04.01.001</t>
  </si>
  <si>
    <t>1.02.03.04.01.002</t>
  </si>
  <si>
    <t>1.02.03.04.01.003</t>
  </si>
  <si>
    <t>1.02.03.04.01.999</t>
  </si>
  <si>
    <t>1.02.03.04.02</t>
  </si>
  <si>
    <t>1.02.03.04.02.001</t>
  </si>
  <si>
    <t>( - ) AMORTIZACAO ACUM. SOFTWARE</t>
  </si>
  <si>
    <t>1.03</t>
  </si>
  <si>
    <t>COMPENSACAO</t>
  </si>
  <si>
    <t>1.03.01</t>
  </si>
  <si>
    <t>1.03.01.01</t>
  </si>
  <si>
    <t>ASSIST.SOC.EDUC.HOSPITALAR</t>
  </si>
  <si>
    <t>1.03.01.01.01</t>
  </si>
  <si>
    <t>1.03.01.01.01.001</t>
  </si>
  <si>
    <t>CUSTOS ATIVID. BENEFICENTES</t>
  </si>
  <si>
    <t>1.03.01.01.01.002</t>
  </si>
  <si>
    <t>BENS EM COMODATOS</t>
  </si>
  <si>
    <t>1.03.01.01.01.003</t>
  </si>
  <si>
    <t>BENS EM CONSIGNACOES - OPME</t>
  </si>
  <si>
    <t>1.03.01.01.01.004</t>
  </si>
  <si>
    <t>BENS EM CONSIGNACOES - MEDICAMENTOS ALTO CUSTO</t>
  </si>
  <si>
    <t>1.03.01.01.01.005</t>
  </si>
  <si>
    <t>GLOSAS PRE FATURAMENTO</t>
  </si>
  <si>
    <t>1.03.01.01.01.006</t>
  </si>
  <si>
    <t>BENS DE TERCEIRO EM NOSSO PODER</t>
  </si>
  <si>
    <t>2.01.01.01.03</t>
  </si>
  <si>
    <t>FORNE. SERV. MEDICOS - PF</t>
  </si>
  <si>
    <t>2.01.01.01.03.001</t>
  </si>
  <si>
    <t>FORNEC. SERV. MEDICOS - PF</t>
  </si>
  <si>
    <t>FORNEC. SERVICOS  DIVERSOS PJ</t>
  </si>
  <si>
    <t>2.01.01.01.05</t>
  </si>
  <si>
    <t>FORNEC. SERVICOS DIVERSOS PF</t>
  </si>
  <si>
    <t>2.01.01.01.05.001</t>
  </si>
  <si>
    <t>2.01.01.02.01.002</t>
  </si>
  <si>
    <t>FERIAS A PAGAR</t>
  </si>
  <si>
    <t>2.01.01.02.02.001</t>
  </si>
  <si>
    <t>MENSALIDADE SINDICAL A RECOLHER</t>
  </si>
  <si>
    <t>2.01.01.02.02.005</t>
  </si>
  <si>
    <t>CONTRIB. SINDICAL ASSIST. RECOLHER</t>
  </si>
  <si>
    <t>2.01.01.02.02.006</t>
  </si>
  <si>
    <t>INSS S/AUTONOMO A RECOLHER</t>
  </si>
  <si>
    <t>2.01.01.02.03.002</t>
  </si>
  <si>
    <t>I.S.S. PARCELAMENTO</t>
  </si>
  <si>
    <t>2.01.01.02.03.006</t>
  </si>
  <si>
    <t>TRIBUTOS PARCELADOS</t>
  </si>
  <si>
    <t>2.01.01.02.04.001</t>
  </si>
  <si>
    <t>CONVENIO EMPREST. BANCARIO A PAGAR</t>
  </si>
  <si>
    <t>2.01.01.02.04.002</t>
  </si>
  <si>
    <t>CHEQUES A COMPENSAR</t>
  </si>
  <si>
    <t>2.01.01.02.04.003</t>
  </si>
  <si>
    <t>HONORARIOS A PAGAR</t>
  </si>
  <si>
    <t>2.01.01.02.04.005</t>
  </si>
  <si>
    <t>SEGUROS A PAGAR</t>
  </si>
  <si>
    <t>2.01.01.02.04.007</t>
  </si>
  <si>
    <t>ADIANTAMENTOS DE PACIENTE PARTICULAR</t>
  </si>
  <si>
    <t>2.01.01.02.04.008</t>
  </si>
  <si>
    <t>ADIANTAMENTOS DE PACIENTES CONVENIOS</t>
  </si>
  <si>
    <t>2.01.01.02.04.009</t>
  </si>
  <si>
    <t>OUTROS ADIANTAMENTOS</t>
  </si>
  <si>
    <t>2.01.01.02.04.010</t>
  </si>
  <si>
    <t>COOP. FUNCIONARIOS A PAGAR</t>
  </si>
  <si>
    <t>2.01.01.02.04.011</t>
  </si>
  <si>
    <t>EMPRESTIMO COOP.FUNC.</t>
  </si>
  <si>
    <t>2.01.01.02.04.012</t>
  </si>
  <si>
    <t>GREMIO RECREATIVO A PAGAR</t>
  </si>
  <si>
    <t>2.01.01.02.04.013</t>
  </si>
  <si>
    <t>DESCONTO PROMOCIONAL A PAGAR</t>
  </si>
  <si>
    <t>2.01.01.02.04.014</t>
  </si>
  <si>
    <t>CONVENIO DE FARMACIA A PAGAR</t>
  </si>
  <si>
    <t>2.01.01.02.04.015</t>
  </si>
  <si>
    <t>CESTAS BASICAS A PAGAR</t>
  </si>
  <si>
    <t>2.01.01.02.04.016</t>
  </si>
  <si>
    <t>TICKET REFEICAO A PAGAR</t>
  </si>
  <si>
    <t>2.01.01.02.04.017</t>
  </si>
  <si>
    <t>ASSISTENCIA MEDICA A PAGAR</t>
  </si>
  <si>
    <t>2.01.01.02.04.018</t>
  </si>
  <si>
    <t>PIS EMPRESA A PAGAR</t>
  </si>
  <si>
    <t>2.01.01.02.04.019</t>
  </si>
  <si>
    <t>REFIS CURTO PRAZO</t>
  </si>
  <si>
    <t>2.01.01.02.04.020</t>
  </si>
  <si>
    <t>PENSAO JUDICIAL A PAGAR</t>
  </si>
  <si>
    <t>2.01.01.02.04.021</t>
  </si>
  <si>
    <t>CREDITOS NAO IDENTIFICADOS</t>
  </si>
  <si>
    <t>2.01.01.02.04.022</t>
  </si>
  <si>
    <t>SUBVENÇÃO E ASSISTENCIA GOVERNAMENTAIS A REALIZAR</t>
  </si>
  <si>
    <t>2.01.01.02.04.023</t>
  </si>
  <si>
    <t>BENS PUBLICOS EM NOSSO PODER</t>
  </si>
  <si>
    <t>2.01.01.02.04.024</t>
  </si>
  <si>
    <t>DOAÇÕES E PROJETOS DESIGNADOS</t>
  </si>
  <si>
    <t>2.01.01.02.04.025</t>
  </si>
  <si>
    <t>INCENTIVO GOVERNAMENTAL A REALIZAR</t>
  </si>
  <si>
    <t>2.01.01.02.04.026</t>
  </si>
  <si>
    <t>RECEITA DIFERIDA</t>
  </si>
  <si>
    <t>2.01.01.02.04.027</t>
  </si>
  <si>
    <t>PASSIVOS DE ATIVOS MANTIDOS PARA VENDA</t>
  </si>
  <si>
    <t>PROVISAO PARA   13 SALARIO</t>
  </si>
  <si>
    <t>PROVISAO PARA   ENCARGOS SOCIAIS - 13º SALARIO</t>
  </si>
  <si>
    <t>PROVISÃO PARA ENCARGOS SOCIAIS - FERIAS</t>
  </si>
  <si>
    <t>2.01.01.02.05.005</t>
  </si>
  <si>
    <t>PROVISÕES PARA DISSIDIOS EM ABERTO</t>
  </si>
  <si>
    <t>2.01.01.02.05.006</t>
  </si>
  <si>
    <t>PROVISÕES PARA BANCO DE HORAS</t>
  </si>
  <si>
    <t>2.01.01.02.06</t>
  </si>
  <si>
    <t>EMPRESTIMOS E FINANCIAMENTOS</t>
  </si>
  <si>
    <t>2.01.01.02.06.001</t>
  </si>
  <si>
    <t>EMPREST. FINANCIAM. BANCARIOS</t>
  </si>
  <si>
    <t>2.01.01.02.06.002</t>
  </si>
  <si>
    <t>ARRENDAMENTOS MERCANTIS A PAGAR</t>
  </si>
  <si>
    <t>2.01.01.03</t>
  </si>
  <si>
    <t>CONTINGENCIA - SAUDE</t>
  </si>
  <si>
    <t>2.01.01.03.01</t>
  </si>
  <si>
    <t>PROVISOES PARA CONTINGENCIAS</t>
  </si>
  <si>
    <t>2.01.01.03.01.001</t>
  </si>
  <si>
    <t>PROVISAO SOBRE PASSIVOS CONTIGENTES CIVEIS</t>
  </si>
  <si>
    <t>2.01.01.03.01.002</t>
  </si>
  <si>
    <t>PROVISAO SOBRE PASSIVOS CONTIGENTES TRABALHISTAS</t>
  </si>
  <si>
    <t>2.01.01.03.01.003</t>
  </si>
  <si>
    <t>PROVISAO SOBRE PASSIVOS CONTIGENTES TRIBUTÁRIOS</t>
  </si>
  <si>
    <t>2.01.01.03.01.004</t>
  </si>
  <si>
    <t>PROVISOES PARA REESTRUTURAÇAO</t>
  </si>
  <si>
    <t>2.01.02</t>
  </si>
  <si>
    <t>PASSIVO CIRCULANTE - EDUCACAO</t>
  </si>
  <si>
    <t>2.01.02.01</t>
  </si>
  <si>
    <t>FORNECEDORES - EDUCACAO</t>
  </si>
  <si>
    <t>2.01.02.01.01</t>
  </si>
  <si>
    <t>2.01.02.01.01.001</t>
  </si>
  <si>
    <t>2.01.02.01.02</t>
  </si>
  <si>
    <t>2.01.02.01.02.001</t>
  </si>
  <si>
    <t>2.01.02.01.03</t>
  </si>
  <si>
    <t>FORNECEDORES DE MATERIAIS</t>
  </si>
  <si>
    <t>2.01.02.01.03.001</t>
  </si>
  <si>
    <t>2.01.02.02</t>
  </si>
  <si>
    <t>OBRIGACOES - EDUCACAO</t>
  </si>
  <si>
    <t>2.01.02.02.01</t>
  </si>
  <si>
    <t>2.01.02.02.01.001</t>
  </si>
  <si>
    <t>2.01.02.02.01.002</t>
  </si>
  <si>
    <t>2.01.02.02.01.003</t>
  </si>
  <si>
    <t>2.01.02.02.01.004</t>
  </si>
  <si>
    <t>2.01.02.02.01.005</t>
  </si>
  <si>
    <t>2.01.02.02.02</t>
  </si>
  <si>
    <t>2.01.02.02.02.001</t>
  </si>
  <si>
    <t>2.01.02.02.02.002</t>
  </si>
  <si>
    <t>2.01.02.02.02.003</t>
  </si>
  <si>
    <t>I.N.S.S. A RECOLHER - FUNCIONARIOS</t>
  </si>
  <si>
    <t>2.01.02.02.02.004</t>
  </si>
  <si>
    <t>2.01.02.02.02.005</t>
  </si>
  <si>
    <t>2.01.02.02.02.006</t>
  </si>
  <si>
    <t>2.01.02.02.03</t>
  </si>
  <si>
    <t>2.01.02.02.03.001</t>
  </si>
  <si>
    <t>2.01.02.02.03.002</t>
  </si>
  <si>
    <t>2.01.02.02.03.003</t>
  </si>
  <si>
    <t>2.01.02.02.03.004</t>
  </si>
  <si>
    <t>2.01.02.02.03.005</t>
  </si>
  <si>
    <t>2.01.02.02.04</t>
  </si>
  <si>
    <t>2.01.02.02.04.001</t>
  </si>
  <si>
    <t>2.01.02.02.04.002</t>
  </si>
  <si>
    <t>2.01.02.02.04.003</t>
  </si>
  <si>
    <t>2.01.02.02.04.004</t>
  </si>
  <si>
    <t>2.01.02.02.04.005</t>
  </si>
  <si>
    <t>2.01.02.02.04.006</t>
  </si>
  <si>
    <t>2.01.02.02.04.007</t>
  </si>
  <si>
    <t>ADIANTAMENTOS DE CLIENTES</t>
  </si>
  <si>
    <t>2.01.02.02.04.008</t>
  </si>
  <si>
    <t>ADIANTAMENTOS BOLSAS ESTUDO</t>
  </si>
  <si>
    <t>2.01.02.02.04.009</t>
  </si>
  <si>
    <t>2.01.02.02.04.010</t>
  </si>
  <si>
    <t>2.01.02.02.04.011</t>
  </si>
  <si>
    <t>2.01.02.02.04.012</t>
  </si>
  <si>
    <t>2.01.02.02.04.013</t>
  </si>
  <si>
    <t>2.01.02.02.04.014</t>
  </si>
  <si>
    <t>2.01.02.02.04.015</t>
  </si>
  <si>
    <t>2.01.02.02.04.016</t>
  </si>
  <si>
    <t>2.01.02.02.04.017</t>
  </si>
  <si>
    <t>2.01.02.02.04.018</t>
  </si>
  <si>
    <t>2.01.02.02.04.019</t>
  </si>
  <si>
    <t>2.01.02.02.04.020</t>
  </si>
  <si>
    <t>2.01.02.02.04.021</t>
  </si>
  <si>
    <t>SUBVENÇÃO E ASSISTENCIA GOVERNAMENTAIS A  REALIZAR</t>
  </si>
  <si>
    <t>2.01.02.02.04.022</t>
  </si>
  <si>
    <t>2.01.02.02.04.023</t>
  </si>
  <si>
    <t>2.01.02.02.05</t>
  </si>
  <si>
    <t>2.01.02.02.05.001</t>
  </si>
  <si>
    <t>2.01.02.02.05.002</t>
  </si>
  <si>
    <t>2.01.02.02.05.003</t>
  </si>
  <si>
    <t>2.01.02.02.05.004</t>
  </si>
  <si>
    <t>PROVISAO PARA ENCARGOS SOCIAIS - FERIAS.</t>
  </si>
  <si>
    <t>2.01.02.02.05.005</t>
  </si>
  <si>
    <t>2.01.02.02.05.006</t>
  </si>
  <si>
    <t>2.01.02.02.06</t>
  </si>
  <si>
    <t>2.01.02.02.06.001</t>
  </si>
  <si>
    <t>2.01.02.03</t>
  </si>
  <si>
    <t>CONTINGENCIA - EDUCACAO</t>
  </si>
  <si>
    <t>2.01.02.03.01</t>
  </si>
  <si>
    <t>2.01.02.03.01.001</t>
  </si>
  <si>
    <t>PROVISAO SOBRE PASSIVOS CONTINGENTES CIVEIS</t>
  </si>
  <si>
    <t>2.01.02.03.01.002</t>
  </si>
  <si>
    <t>PROVISAO SOBRE PASSIVOS CONTINGENTES TRABALHISTAS</t>
  </si>
  <si>
    <t>2.01.03</t>
  </si>
  <si>
    <t>PASSIVO CIRCULANTE - ASSISTENCIA SOCIAL</t>
  </si>
  <si>
    <t>2.01.03.01</t>
  </si>
  <si>
    <t>FORNECEDORES - ASSISTENCIA SOCIAL</t>
  </si>
  <si>
    <t>2.01.03.01.01</t>
  </si>
  <si>
    <t>2.01.03.01.01.001</t>
  </si>
  <si>
    <t>2.01.03.01.02</t>
  </si>
  <si>
    <t>2.01.03.01.02.001</t>
  </si>
  <si>
    <t>2.01.03.01.03</t>
  </si>
  <si>
    <t>2.01.03.01.03.001</t>
  </si>
  <si>
    <t>2.01.03.01.04</t>
  </si>
  <si>
    <t>OUTROS FORNECEDORES</t>
  </si>
  <si>
    <t>2.01.03.01.04.001</t>
  </si>
  <si>
    <t>2.01.03.02</t>
  </si>
  <si>
    <t>OBRIGACOES - ASSISTENCIA SOCIAL</t>
  </si>
  <si>
    <t>2.01.03.02.01</t>
  </si>
  <si>
    <t>2.01.03.02.01.001</t>
  </si>
  <si>
    <t>2.01.03.02.01.002</t>
  </si>
  <si>
    <t>2.01.03.02.01.003</t>
  </si>
  <si>
    <t>2.01.03.02.01.004</t>
  </si>
  <si>
    <t>2.01.03.02.01.005</t>
  </si>
  <si>
    <t>2.01.03.02.02</t>
  </si>
  <si>
    <t>2.01.03.02.02.001</t>
  </si>
  <si>
    <t>2.01.03.02.02.002</t>
  </si>
  <si>
    <t>2.01.03.02.02.003</t>
  </si>
  <si>
    <t>2.01.03.02.02.004</t>
  </si>
  <si>
    <t>2.01.03.02.02.005</t>
  </si>
  <si>
    <t>2.01.03.02.02.006</t>
  </si>
  <si>
    <t>2.01.03.02.03</t>
  </si>
  <si>
    <t>2.01.03.02.03.001</t>
  </si>
  <si>
    <t>2.01.03.02.03.002</t>
  </si>
  <si>
    <t>2.01.03.02.03.003</t>
  </si>
  <si>
    <t>2.01.03.02.03.004</t>
  </si>
  <si>
    <t>2.01.03.02.03.005</t>
  </si>
  <si>
    <t>2.01.03.02.04</t>
  </si>
  <si>
    <t>2.01.03.02.04.001</t>
  </si>
  <si>
    <t>2.01.03.02.04.002</t>
  </si>
  <si>
    <t>2.01.03.02.04.003</t>
  </si>
  <si>
    <t>2.01.03.02.04.004</t>
  </si>
  <si>
    <t>2.01.03.02.04.005</t>
  </si>
  <si>
    <t>2.01.03.02.04.006</t>
  </si>
  <si>
    <t>2.01.03.02.04.007</t>
  </si>
  <si>
    <t>2.01.03.02.04.008</t>
  </si>
  <si>
    <t>2.01.03.02.04.009</t>
  </si>
  <si>
    <t>2.01.03.02.04.010</t>
  </si>
  <si>
    <t>2.01.03.02.04.011</t>
  </si>
  <si>
    <t>2.01.03.02.04.012</t>
  </si>
  <si>
    <t>2.01.03.02.04.013</t>
  </si>
  <si>
    <t>2.01.03.02.04.014</t>
  </si>
  <si>
    <t>2.01.03.02.04.015</t>
  </si>
  <si>
    <t>2.01.03.02.04.016</t>
  </si>
  <si>
    <t>2.01.03.02.04.017</t>
  </si>
  <si>
    <t>2.01.03.02.04.018</t>
  </si>
  <si>
    <t>2.01.03.02.04.019</t>
  </si>
  <si>
    <t>2.01.03.02.04.020</t>
  </si>
  <si>
    <t>CHEQUES EMITIDOS A PAGAR</t>
  </si>
  <si>
    <t>2.01.03.02.04.021</t>
  </si>
  <si>
    <t>2.01.03.02.04.022</t>
  </si>
  <si>
    <t>SUBVENCAO E ASSISTENCIA GOVERNAMENTAIS A REALIZAR</t>
  </si>
  <si>
    <t>2.01.03.02.04.023</t>
  </si>
  <si>
    <t>2.01.03.02.05</t>
  </si>
  <si>
    <t>2.01.03.02.05.001</t>
  </si>
  <si>
    <t>2.01.03.02.05.002</t>
  </si>
  <si>
    <t>2.01.03.02.05.003</t>
  </si>
  <si>
    <t>2.01.03.02.05.004</t>
  </si>
  <si>
    <t>PROVISAO PARA ENCARGOS SOCIAIS - FERIAS</t>
  </si>
  <si>
    <t>2.01.03.02.05.005</t>
  </si>
  <si>
    <t>2.01.03.02.05.006</t>
  </si>
  <si>
    <t>2.01.03.02.06</t>
  </si>
  <si>
    <t>2.01.03.02.06.001</t>
  </si>
  <si>
    <t>2.01.03.03</t>
  </si>
  <si>
    <t>CONTINGENCIA - ASSISTENCIA SOCIAL</t>
  </si>
  <si>
    <t>2.01.03.03.01</t>
  </si>
  <si>
    <t>2.01.03.03.01.001</t>
  </si>
  <si>
    <t xml:space="preserve"> PROVISAO SOBRE PASSIVOS CONTIGENTES CIVEIS</t>
  </si>
  <si>
    <t>2.01.03.03.01.002</t>
  </si>
  <si>
    <t xml:space="preserve"> PROVISAO SOBRE PASSIVOS CONTIGENTES TRABALHISTAS</t>
  </si>
  <si>
    <t>2.02.01.01</t>
  </si>
  <si>
    <t>EXIGIVEL A LONGO PRAZO - SAUDE</t>
  </si>
  <si>
    <t>2.02.01.01.01</t>
  </si>
  <si>
    <t>2.02.01.01.01.001</t>
  </si>
  <si>
    <t>2.02.01.01.01.002</t>
  </si>
  <si>
    <t>2.02.01.01.02</t>
  </si>
  <si>
    <t>2.02.01.01.02.001</t>
  </si>
  <si>
    <t>ISS PARCELAMENTO</t>
  </si>
  <si>
    <t>2.02.01.01.02.002</t>
  </si>
  <si>
    <t>REFIS LONGO PRAZO</t>
  </si>
  <si>
    <t>2.02.01.01.02.003</t>
  </si>
  <si>
    <t>2.02.01.01.03</t>
  </si>
  <si>
    <t>2.02.01.01.03.001</t>
  </si>
  <si>
    <t>2.02.01.01.03.002</t>
  </si>
  <si>
    <t>2.02.01.01.03.003</t>
  </si>
  <si>
    <t>2.02.01.01.04</t>
  </si>
  <si>
    <t>CONTAS A PAGAR - JURIDICO.</t>
  </si>
  <si>
    <t>2.02.01.01.04.001</t>
  </si>
  <si>
    <t>CONTAS A PAGAR - JURIDICO</t>
  </si>
  <si>
    <t>2.02.01.01.04.002</t>
  </si>
  <si>
    <t>2.02.01.01.04.003</t>
  </si>
  <si>
    <t>2.02.01.01.04.004</t>
  </si>
  <si>
    <t>2.02.01.01.04.005</t>
  </si>
  <si>
    <t>ACORDO OPERACIONAL</t>
  </si>
  <si>
    <t>2.02.01.02.01.001</t>
  </si>
  <si>
    <t>RECEITAS DIFERIDAS - EXERCICIOS FUTUROS</t>
  </si>
  <si>
    <t>2.02.01.02.01.004</t>
  </si>
  <si>
    <t>DOAÇÕES E PROJETOS DESIGNADOS LP</t>
  </si>
  <si>
    <t>2.02.01.02.01.005</t>
  </si>
  <si>
    <t>INCENTIVO GOVERNAMENTAL A REALIZAR LP</t>
  </si>
  <si>
    <t>2.02.02</t>
  </si>
  <si>
    <t>PASSIVO NAO CIRCULANTE - EDUCACAO</t>
  </si>
  <si>
    <t>2.02.02.01</t>
  </si>
  <si>
    <t>EXIGIVEL A LONGO PRAZO - EDUCACAO</t>
  </si>
  <si>
    <t>2.02.02.01.01</t>
  </si>
  <si>
    <t>2.02.02.01.01.001</t>
  </si>
  <si>
    <t>2.02.02.01.02</t>
  </si>
  <si>
    <t>2.02.02.01.02.001</t>
  </si>
  <si>
    <t>2.02.02.01.02.002</t>
  </si>
  <si>
    <t>2.02.02.01.03</t>
  </si>
  <si>
    <t>2.02.02.01.03.001</t>
  </si>
  <si>
    <t>2.02.02.01.03.002</t>
  </si>
  <si>
    <t>2.02.02.01.04</t>
  </si>
  <si>
    <t>2.02.02.01.04.001</t>
  </si>
  <si>
    <t>2.02.02.02</t>
  </si>
  <si>
    <t>RECEITAS DIFERIDAS - EDUCACAO</t>
  </si>
  <si>
    <t>2.02.02.02.01</t>
  </si>
  <si>
    <t>2.02.02.02.01.001</t>
  </si>
  <si>
    <t>2.02.02.02.01.002</t>
  </si>
  <si>
    <t>2.02.02.02.01.003</t>
  </si>
  <si>
    <t>2.02.03</t>
  </si>
  <si>
    <t>PASSIVO NAO CIRCULANTE - ASSISTENCIA SOCIAL</t>
  </si>
  <si>
    <t>2.02.03.01</t>
  </si>
  <si>
    <t>EXIGIVEL A LONGO PRAZO - ASSISTENCIA SOCIAL</t>
  </si>
  <si>
    <t>2.02.03.01.01</t>
  </si>
  <si>
    <t>2.02.03.01.01.001</t>
  </si>
  <si>
    <t>2.02.03.01.02</t>
  </si>
  <si>
    <t>2.02.03.01.02.001</t>
  </si>
  <si>
    <t>2.02.03.01.02.002</t>
  </si>
  <si>
    <t>2.02.03.01.03</t>
  </si>
  <si>
    <t>2.02.03.01.03.001</t>
  </si>
  <si>
    <t>2.02.03.01.03.002</t>
  </si>
  <si>
    <t>2.02.03.01.03.003</t>
  </si>
  <si>
    <t>PROVISAO SOBRE PASSIVOS CONTINGENTES TRIBUTARIOS</t>
  </si>
  <si>
    <t>2.02.03.01.04</t>
  </si>
  <si>
    <t>2.02.03.01.04.001</t>
  </si>
  <si>
    <t>2.02.03.02</t>
  </si>
  <si>
    <t>RECEITAS DIFERIDAS - ASSISTENCIA SOCIAL</t>
  </si>
  <si>
    <t>2.02.03.02.01</t>
  </si>
  <si>
    <t>2.02.03.02.01.001</t>
  </si>
  <si>
    <t>2.02.03.02.01.002</t>
  </si>
  <si>
    <t>SUBVENCAO E ASSISTENCIA GOVERNAMENTAIS A REALIZAR  L.P.</t>
  </si>
  <si>
    <t>2.03.01.01.01.002</t>
  </si>
  <si>
    <t>RESERVA DE REAVALIACAO</t>
  </si>
  <si>
    <t>2.03.01.01.01.004</t>
  </si>
  <si>
    <t>RESERVA CAPITAL - IMOBILIZADO GESTAO PUBLICA</t>
  </si>
  <si>
    <t>2.03.01.01.01.005</t>
  </si>
  <si>
    <t>AJUSTE EXERCÍCIOS ANTERIORES</t>
  </si>
  <si>
    <t>2.03.01.01.01.006</t>
  </si>
  <si>
    <t>AJUSTE DE AVALIAÇÃO PATRIMONIAL</t>
  </si>
  <si>
    <t>2.03.01.01.01.007</t>
  </si>
  <si>
    <t>CONTA DE INCORPORAÇÃO</t>
  </si>
  <si>
    <t>RESERVA DE SUPERAVITS COM RESTRICOES</t>
  </si>
  <si>
    <t>2.03.01.02</t>
  </si>
  <si>
    <t>TRANSFERENCIAS - SAUDE</t>
  </si>
  <si>
    <t>2.03.01.02.01</t>
  </si>
  <si>
    <t>TRANSFERENCIAS</t>
  </si>
  <si>
    <t>2.03.01.02.01.001</t>
  </si>
  <si>
    <t>TRANSF. DINHEIRO CSSJ - CUSTEIO</t>
  </si>
  <si>
    <t>2.03.01.02.01.002</t>
  </si>
  <si>
    <t>TRANSF. DINHEIRO  HST- CUSTEIO</t>
  </si>
  <si>
    <t>2.03.01.02.01.003</t>
  </si>
  <si>
    <t>TRANSF. DINHEIRO HSC - CUSTEIO</t>
  </si>
  <si>
    <t>2.03.01.02.01.004</t>
  </si>
  <si>
    <t>TRANSF. DINHEIRO HSJ - CUSTEIO</t>
  </si>
  <si>
    <t>2.03.01.02.01.005</t>
  </si>
  <si>
    <t>TRANSF. DINHEIRO HMRP - CUSTEIO</t>
  </si>
  <si>
    <t>2.03.01.02.01.006</t>
  </si>
  <si>
    <t>TRANSF. DINHEIRO HSL - CUSTEIO</t>
  </si>
  <si>
    <t>2.03.01.02.01.007</t>
  </si>
  <si>
    <t>TRANSF. DINHEIRO HGP - CUSTEIO</t>
  </si>
  <si>
    <t>2.03.01.02.01.008</t>
  </si>
  <si>
    <t>TRANSF. DINHEIRO  RSC - CUSTEIO</t>
  </si>
  <si>
    <t>2.03.01.02.01.009</t>
  </si>
  <si>
    <t>TRANSF. DINHEIRO HCNSC - CUSTEIO</t>
  </si>
  <si>
    <t>2.03.01.02.01.010</t>
  </si>
  <si>
    <t>TRANSF. DINHEIRO OS-ACSC - CUSTEIO</t>
  </si>
  <si>
    <t>2.03.01.02.01.011</t>
  </si>
  <si>
    <t>TRANSF. DINHEIRO CRI - CUSTEIO</t>
  </si>
  <si>
    <t>2.03.01.02.01.012</t>
  </si>
  <si>
    <t>TRANSF. DINHEIRO PAI - CUSTEIO</t>
  </si>
  <si>
    <t>2.03.01.02.01.013</t>
  </si>
  <si>
    <t>TRANSF. DINHEIRO HGG - CUSTEIO</t>
  </si>
  <si>
    <t>2.03.01.02.01.014</t>
  </si>
  <si>
    <t>TRANSF. DINHEIRO HGI - CUSTEIO</t>
  </si>
  <si>
    <t>2.03.01.02.01.015</t>
  </si>
  <si>
    <t>TRANSF. DINHEIRO CEAC - CUSTEIO</t>
  </si>
  <si>
    <t>2.03.01.02.01.016</t>
  </si>
  <si>
    <t>TRANSF. DINHEIRO SEDI I - CUSTEIO</t>
  </si>
  <si>
    <t>2.03.01.02.01.017</t>
  </si>
  <si>
    <t>TRANSF. DINHEIRO AME-ITAPEVI - CUSTEIO</t>
  </si>
  <si>
    <t>2.03.01.02.01.018</t>
  </si>
  <si>
    <t>TRANSF. DINHEIRO AME-JP - CUSTEIO</t>
  </si>
  <si>
    <t>2.03.01.02.01.019</t>
  </si>
  <si>
    <t>TRANSF. DINHEIRO AME-INTERLAGOS - CUSTEIO</t>
  </si>
  <si>
    <t>2.03.01.02.01.020</t>
  </si>
  <si>
    <t>TRANSF. DINHEIRO HTO - CUSTEIO</t>
  </si>
  <si>
    <t>2.03.01.02.01.021</t>
  </si>
  <si>
    <t>TRANSF. EM MATERIAIS - CSSJ</t>
  </si>
  <si>
    <t>2.03.01.02.01.022</t>
  </si>
  <si>
    <t>TRANSF. EM MATERIAIS - HST</t>
  </si>
  <si>
    <t>2.03.01.02.01.023</t>
  </si>
  <si>
    <t>TRANSF. EM MATERIAIS - HSC</t>
  </si>
  <si>
    <t>2.03.01.02.01.024</t>
  </si>
  <si>
    <t>TRANSF. EM MATERIAIS - HSJ</t>
  </si>
  <si>
    <t>2.03.01.02.01.025</t>
  </si>
  <si>
    <t>TRANSF. EM MATERIAIS - HMRP</t>
  </si>
  <si>
    <t>2.03.01.02.01.026</t>
  </si>
  <si>
    <t>TRANSF. EM MATERIAIS - HSL</t>
  </si>
  <si>
    <t>2.03.01.02.01.027</t>
  </si>
  <si>
    <t>TRANSF. EM MATERIAIS - HGP</t>
  </si>
  <si>
    <t>2.03.01.02.01.028</t>
  </si>
  <si>
    <t>TRANSF. EM MATERIAIS - RSC</t>
  </si>
  <si>
    <t>2.03.01.02.01.029</t>
  </si>
  <si>
    <t>TRANSF. EM MATERIAIS - HCNSC</t>
  </si>
  <si>
    <t>2.03.01.02.01.030</t>
  </si>
  <si>
    <t>TRANSF. EM MATERIAIS - OS-ACSC</t>
  </si>
  <si>
    <t>2.03.01.02.01.031</t>
  </si>
  <si>
    <t>TRANSF. EM MATERIAS - CRI</t>
  </si>
  <si>
    <t>2.03.01.02.01.032</t>
  </si>
  <si>
    <t>TRANSF. EM MATERIAS - PAI</t>
  </si>
  <si>
    <t>2.03.01.02.01.033</t>
  </si>
  <si>
    <t>TRANSF. EM MATERIAIS - HGG</t>
  </si>
  <si>
    <t>2.03.01.02.01.034</t>
  </si>
  <si>
    <t>TRANSF. EM MATERIAIS - HGI</t>
  </si>
  <si>
    <t>2.03.01.02.01.035</t>
  </si>
  <si>
    <t>TRANSF. EM MATERIAIS - CEAC</t>
  </si>
  <si>
    <t>2.03.01.02.01.036</t>
  </si>
  <si>
    <t>TRANSF. EM MATERIAIS - SEDI I</t>
  </si>
  <si>
    <t>2.03.01.02.01.037</t>
  </si>
  <si>
    <t>TRANSF. EM MATERIAIS - AME ITAPEVI</t>
  </si>
  <si>
    <t>2.03.01.02.01.038</t>
  </si>
  <si>
    <t>TRANSF. EM MATERIAIS - AME JP</t>
  </si>
  <si>
    <t>2.03.01.02.01.039</t>
  </si>
  <si>
    <t>TRANSF. EM MATERIAIS - AME INTERLAGOS</t>
  </si>
  <si>
    <t>2.03.01.02.01.040</t>
  </si>
  <si>
    <t>TRANSF. EM MATERIAIS - HTO</t>
  </si>
  <si>
    <t>2.03.01.02.01.041</t>
  </si>
  <si>
    <t>TRANSF.DINHEIRO CSSJ - INVESTIMENTO</t>
  </si>
  <si>
    <t>2.03.01.02.01.042</t>
  </si>
  <si>
    <t>TRANSF.DINHEIRO HST -  INVESTIMENTO</t>
  </si>
  <si>
    <t>2.03.01.02.01.043</t>
  </si>
  <si>
    <t>TRANSF. DINHEIRO HSC - INVESTIMENTO</t>
  </si>
  <si>
    <t>2.03.01.02.01.044</t>
  </si>
  <si>
    <t>TRANSF. DINHEIRO HSJ - INVESTIMENTO</t>
  </si>
  <si>
    <t>2.03.01.02.01.045</t>
  </si>
  <si>
    <t>TRANSF. DINHEIRO HMRP - INVESTIMENTO</t>
  </si>
  <si>
    <t>2.03.01.02.01.046</t>
  </si>
  <si>
    <t>TRANSF. DINHEIRO HSL - INVESTIMENTO</t>
  </si>
  <si>
    <t>2.03.01.02.01.047</t>
  </si>
  <si>
    <t>TRANSF. DINHEIRO HGP - INVESTIMENTO</t>
  </si>
  <si>
    <t>2.03.01.02.01.048</t>
  </si>
  <si>
    <t>TRANSF. DINHEIRO RSC - INVESTIMENTO</t>
  </si>
  <si>
    <t>2.03.01.02.01.049</t>
  </si>
  <si>
    <t>TRANSF. DINHEIRO HCNSC - INVESTIMENTO</t>
  </si>
  <si>
    <t>2.03.01.02.01.050</t>
  </si>
  <si>
    <t>TRANSF. DINHEIRO OS-ACSC - INVESTIMENTO</t>
  </si>
  <si>
    <t>2.03.01.02.01.051</t>
  </si>
  <si>
    <t>TRANSF. DINHEIRO CRI - INVESTIMENTO</t>
  </si>
  <si>
    <t>2.03.01.02.01.052</t>
  </si>
  <si>
    <t>TRANSF. DINHEIRO PAI - INVESTIMENTO</t>
  </si>
  <si>
    <t>2.03.01.02.01.053</t>
  </si>
  <si>
    <t>TRANSF. DINHEIRO HGG - INVESTIMENTO</t>
  </si>
  <si>
    <t>2.03.01.02.01.054</t>
  </si>
  <si>
    <t>TRANSF. DINHEIRO HGI - INVESTIMENTO</t>
  </si>
  <si>
    <t>2.03.01.02.01.055</t>
  </si>
  <si>
    <t>TRANSF. DINHEIRO CEAC - INVESTIMENTO</t>
  </si>
  <si>
    <t>2.03.01.02.01.056</t>
  </si>
  <si>
    <t>TRANSF. DINHEIRO SEDI I - INVESTIMENTO</t>
  </si>
  <si>
    <t>2.03.01.02.01.057</t>
  </si>
  <si>
    <t>TRANSF. DINHEIRO AME-ITAPEVI - INVESTIMENTO</t>
  </si>
  <si>
    <t>2.03.01.02.01.058</t>
  </si>
  <si>
    <t>TRANSF. DINHEIRO AME-JP - INVESTIMENTO</t>
  </si>
  <si>
    <t>2.03.01.02.01.059</t>
  </si>
  <si>
    <t>TRANSF. DINHEIRO AME-INTERLAGOS - INVESTIMENTO</t>
  </si>
  <si>
    <t>2.03.01.02.01.060</t>
  </si>
  <si>
    <t>TRANSF. DINHEIRO HTO - INVESTIMENTO</t>
  </si>
  <si>
    <t>2.03.01.02.01.061</t>
  </si>
  <si>
    <t>TRANSF. DINHEIRO  AMPARO- CUSTEIO</t>
  </si>
  <si>
    <t>2.03.01.02.01.062</t>
  </si>
  <si>
    <t>TRANSF. DINHEIRO AMPARO - INVESTIMENTO</t>
  </si>
  <si>
    <t>2.03.01.02.01.063</t>
  </si>
  <si>
    <t>TRANSF. EM MATERIAIS  - AMPARO</t>
  </si>
  <si>
    <t>2.03.01.02.01.064</t>
  </si>
  <si>
    <t>TRANSF. DINHEIRO HRC - CUSTEIO</t>
  </si>
  <si>
    <t>2.03.01.02.01.065</t>
  </si>
  <si>
    <t>TRANSF. DINHEIRO HRC - INVESTIMENTO</t>
  </si>
  <si>
    <t>2.03.01.02.01.066</t>
  </si>
  <si>
    <t>TRANSF. EM MATERIAIS - HRC</t>
  </si>
  <si>
    <t>2.03.01.02.01.067</t>
  </si>
  <si>
    <t>TRANSF. DINHEIRO HEC - CUSTEIO</t>
  </si>
  <si>
    <t>2.03.01.02.01.068</t>
  </si>
  <si>
    <t>TRANSF. DINHEIRO HEC - INVESTIMENTO</t>
  </si>
  <si>
    <t>2.03.01.02.01.069</t>
  </si>
  <si>
    <t>TRANSF. EM MATERIAIS - HEC</t>
  </si>
  <si>
    <t>2.03.01.02.01.070</t>
  </si>
  <si>
    <t>TRANSF. DINHEIRO HEAT - CUSTEIO</t>
  </si>
  <si>
    <t>2.03.01.02.01.071</t>
  </si>
  <si>
    <t>TRANSF. DINHEIRO HEAT - INVESTIMENTO</t>
  </si>
  <si>
    <t>2.03.01.02.01.072</t>
  </si>
  <si>
    <t>TRANSF. EM MATERIAIS -  HEAT</t>
  </si>
  <si>
    <t>2.03.01.02.01.073</t>
  </si>
  <si>
    <t>TRANSF. DINHEIRO HEPJBC - CUSTEIO</t>
  </si>
  <si>
    <t>2.03.01.02.01.074</t>
  </si>
  <si>
    <t>TRANSF. DINHEIRO  HEPJBC - INVESTIMENTO</t>
  </si>
  <si>
    <t>2.03.01.02.01.075</t>
  </si>
  <si>
    <t>TRANSF. EM MATERIAIS -   HEPJBC</t>
  </si>
  <si>
    <t>2.03.01.02.01.076</t>
  </si>
  <si>
    <t>TRANSF. DINHEIRO HNSC-SC - CUSTEIO</t>
  </si>
  <si>
    <t>2.03.01.02.01.077</t>
  </si>
  <si>
    <t>TRANSF. DINHEIRO  HNSC-SC  - INVESTIMENTO</t>
  </si>
  <si>
    <t>2.03.01.02.01.078</t>
  </si>
  <si>
    <t>TRANSF. EM MATERIAIS -   HNSC-SC</t>
  </si>
  <si>
    <t>2.03.01.02.01.079</t>
  </si>
  <si>
    <t>TRANSF. DINHEIRO HSI - CUSTEIO</t>
  </si>
  <si>
    <t>2.03.01.02.01.080</t>
  </si>
  <si>
    <t>TRANSF. DINHEIRO  HSI  - INVESTIMENTO</t>
  </si>
  <si>
    <t>2.03.01.02.01.081</t>
  </si>
  <si>
    <t>TRANSF. EM MATERIAIS -   HSI</t>
  </si>
  <si>
    <t>2.03.01.02.01.082</t>
  </si>
  <si>
    <t>TRANSF. DINHEIRO HSJMCG - CUSTEIO</t>
  </si>
  <si>
    <t>2.03.01.02.01.083</t>
  </si>
  <si>
    <t>TRANSF. DINHEIRO  HSJMCG - INVESTIMENTO</t>
  </si>
  <si>
    <t>2.03.01.02.01.084</t>
  </si>
  <si>
    <t>TRANSF. EM MATERIAIS - HSJMCG</t>
  </si>
  <si>
    <t>2.03.01.02.01.085</t>
  </si>
  <si>
    <t>TRANSF. EM MATERIAIS - CORPORATIVO</t>
  </si>
  <si>
    <t>2.03.01.02.01.086</t>
  </si>
  <si>
    <t>TRANSFERÊNCIA DE ESTOQUES ENTRE FILIAIS</t>
  </si>
  <si>
    <t>2.03.01.02.02</t>
  </si>
  <si>
    <t>TRANSFERENCIA DE IMPOSTOS</t>
  </si>
  <si>
    <t>2.03.01.02.02.001</t>
  </si>
  <si>
    <t>TRANSFERENCIA IRRF - CSSJ</t>
  </si>
  <si>
    <t>2.03.01.02.02.002</t>
  </si>
  <si>
    <t>TRANSFERENCIA CONTRIBUICOES - CSSJ</t>
  </si>
  <si>
    <t>2.03.01.02.02.003</t>
  </si>
  <si>
    <t>TRANSFERENCIA IRRF - HST</t>
  </si>
  <si>
    <t>2.03.01.02.02.004</t>
  </si>
  <si>
    <t>TRANSFERENCIA CONTRIBUICOES - HST</t>
  </si>
  <si>
    <t>2.03.01.02.02.005</t>
  </si>
  <si>
    <t>TRANSFERENCIA IRRF - HSC</t>
  </si>
  <si>
    <t>2.03.01.02.02.006</t>
  </si>
  <si>
    <t>TRANSFERENCIA CONTRIBUICOES - HSC</t>
  </si>
  <si>
    <t>2.03.01.02.02.007</t>
  </si>
  <si>
    <t>TRANSFERENCIA IRRF - HSJ</t>
  </si>
  <si>
    <t>2.03.01.02.02.008</t>
  </si>
  <si>
    <t>TRANSFERENCIA CONTRIBUICOES - HSJ</t>
  </si>
  <si>
    <t>2.03.01.02.02.009</t>
  </si>
  <si>
    <t>TRANSFERENCIA IRRF - HMRP</t>
  </si>
  <si>
    <t>2.03.01.02.02.010</t>
  </si>
  <si>
    <t>TRANSFERENCIA CONTRIBUICOES - HMRP</t>
  </si>
  <si>
    <t>2.03.01.02.02.011</t>
  </si>
  <si>
    <t>TRANSFERENCIA IRRF - HSL</t>
  </si>
  <si>
    <t>2.03.01.02.02.012</t>
  </si>
  <si>
    <t>TRANSFERENCIA CONTRIBUICOES - HSL</t>
  </si>
  <si>
    <t>2.03.01.02.02.013</t>
  </si>
  <si>
    <t>TRANSFERENCIA IRRF - HGP</t>
  </si>
  <si>
    <t>2.03.01.02.02.014</t>
  </si>
  <si>
    <t>TRANSFERENCIA CONTRIBUICOES - HGP</t>
  </si>
  <si>
    <t>2.03.01.02.02.015</t>
  </si>
  <si>
    <t>TRANSFERENCIA IRRF - RESIDENCIAL</t>
  </si>
  <si>
    <t>2.03.01.02.02.016</t>
  </si>
  <si>
    <t>TRANSFERENCIA CONTRIBUICOES - RESIDENCIAL</t>
  </si>
  <si>
    <t>2.03.01.02.02.017</t>
  </si>
  <si>
    <t>TRANSFERENCIA IRRF - HCNSC</t>
  </si>
  <si>
    <t>2.03.01.02.02.018</t>
  </si>
  <si>
    <t>TRANSFERENCIA CONTRIBUICOES - HCNSC</t>
  </si>
  <si>
    <t>2.03.01.02.02.019</t>
  </si>
  <si>
    <t>TRANSFERENCIA IRRF - OS-ACSC</t>
  </si>
  <si>
    <t>2.03.01.02.02.020</t>
  </si>
  <si>
    <t>TRANSFERENCIA CONTRIBUICOES - OS-ACSC</t>
  </si>
  <si>
    <t>2.03.01.02.02.021</t>
  </si>
  <si>
    <t>TRANSFERENCIA IRRF - CRI</t>
  </si>
  <si>
    <t>2.03.01.02.02.022</t>
  </si>
  <si>
    <t>TRANSFERENCIA CONTRIBUICOES - CRI</t>
  </si>
  <si>
    <t>2.03.01.02.02.023</t>
  </si>
  <si>
    <t>TRANSFERENCIA IRRF - PAI</t>
  </si>
  <si>
    <t>2.03.01.02.02.024</t>
  </si>
  <si>
    <t>TRANSFERENCIA CONTRIBUICOES - PAI</t>
  </si>
  <si>
    <t>2.03.01.02.02.025</t>
  </si>
  <si>
    <t>TRANSFERENCIA IRRF - HGG</t>
  </si>
  <si>
    <t>2.03.01.02.02.026</t>
  </si>
  <si>
    <t>TRANSFERENCIA CONTRIBUICOES - HGG</t>
  </si>
  <si>
    <t>2.03.01.02.02.027</t>
  </si>
  <si>
    <t>TRANSFERENCIA IRRF - HGI</t>
  </si>
  <si>
    <t>2.03.01.02.02.028</t>
  </si>
  <si>
    <t>TRANSFERENCIA CONTRIBUICOES - HGI</t>
  </si>
  <si>
    <t>2.03.01.02.02.029</t>
  </si>
  <si>
    <t>TRANSFERENCIA IRRF - CEAC</t>
  </si>
  <si>
    <t>2.03.01.02.02.030</t>
  </si>
  <si>
    <t>TRANSFERENCIA CONTRIBUCOES - CEAC</t>
  </si>
  <si>
    <t>2.03.01.02.02.031</t>
  </si>
  <si>
    <t>TRANSFERENCIA IRRF - SEDI I</t>
  </si>
  <si>
    <t>2.03.01.02.02.032</t>
  </si>
  <si>
    <t>TRANSFERENCIA CONTRIBUICOES - SEDI I</t>
  </si>
  <si>
    <t>2.03.01.02.02.033</t>
  </si>
  <si>
    <t>TRANSFERENCIA IRRF - AME ITAPEVI</t>
  </si>
  <si>
    <t>2.03.01.02.02.034</t>
  </si>
  <si>
    <t>TRANSFERENCIA CONTRIBUICOES - AME ITAPEVI</t>
  </si>
  <si>
    <t>2.03.01.02.02.035</t>
  </si>
  <si>
    <t>TRANSFERENCIA IRRF - AME JP</t>
  </si>
  <si>
    <t>2.03.01.02.02.036</t>
  </si>
  <si>
    <t>TRANSFERENCIA CONTRIBUICOES - AME JP</t>
  </si>
  <si>
    <t>2.03.01.02.02.037</t>
  </si>
  <si>
    <t>TRANSFERENCIA IRRF - AME INTERLAGOS</t>
  </si>
  <si>
    <t>2.03.01.02.02.038</t>
  </si>
  <si>
    <t>TRANSFERENCIA CONTRIBUICOES - AME INTERLAGOS</t>
  </si>
  <si>
    <t>2.03.01.02.02.039</t>
  </si>
  <si>
    <t>TRANSFERENCIA IRRF - HTO</t>
  </si>
  <si>
    <t>2.03.01.02.02.040</t>
  </si>
  <si>
    <t>TRANSFERENCIA CONTRIBUICOES - HTO</t>
  </si>
  <si>
    <t>2.03.01.02.02.041</t>
  </si>
  <si>
    <t>TRANSFERENCIA IRRF - AMPARO</t>
  </si>
  <si>
    <t>2.03.01.02.02.042</t>
  </si>
  <si>
    <t>TRANSFERENCIA CONTRIBUICOES - AMPARO</t>
  </si>
  <si>
    <t>2.03.01.02.02.043</t>
  </si>
  <si>
    <t>TRANSFERENCIA IRRF - HRC</t>
  </si>
  <si>
    <t>2.03.01.02.02.044</t>
  </si>
  <si>
    <t>TRANSFERENCIA CONTRIBUICOES - HRC</t>
  </si>
  <si>
    <t>2.03.01.02.02.045</t>
  </si>
  <si>
    <t>TRANSFERENCIA IRRF - HEC</t>
  </si>
  <si>
    <t>2.03.01.02.02.046</t>
  </si>
  <si>
    <t>TRANSFERENCIA CONTRIBUICOES - HEC</t>
  </si>
  <si>
    <t>2.03.01.02.02.047</t>
  </si>
  <si>
    <t>TRANSFERENCIA IRRF - HEAT</t>
  </si>
  <si>
    <t>2.03.01.02.02.048</t>
  </si>
  <si>
    <t>TRANSFERENCIA CONTRIBUICOES - HEAT</t>
  </si>
  <si>
    <t>2.03.01.02.02.049</t>
  </si>
  <si>
    <t>TRANSFERENCIA IRRF -  HEPJBC</t>
  </si>
  <si>
    <t>2.03.01.02.02.050</t>
  </si>
  <si>
    <t>TRANSFERENCIA CONTRIBUICOES -  HEPJBC</t>
  </si>
  <si>
    <t>2.03.01.02.02.051</t>
  </si>
  <si>
    <t>TRANSFERENCIA IRRF - HNSC-SC</t>
  </si>
  <si>
    <t>2.03.01.02.02.052</t>
  </si>
  <si>
    <t>TRANSFERENCIA CONTRIBUICOES - HNSC-SC</t>
  </si>
  <si>
    <t>2.03.01.02.02.053</t>
  </si>
  <si>
    <t>TRANSFERENCIA IRRF - HSI</t>
  </si>
  <si>
    <t>2.03.01.02.02.054</t>
  </si>
  <si>
    <t>TRANSFERENCIA CONTRIBUICOES - HSI</t>
  </si>
  <si>
    <t>2.03.01.02.02.055</t>
  </si>
  <si>
    <t>TRANSFERENCIA IRRF - HSJMCG</t>
  </si>
  <si>
    <t>2.03.01.02.02.056</t>
  </si>
  <si>
    <t>TRANSFERENCIA CONTRIBUICOES - HSJMCG</t>
  </si>
  <si>
    <t>2.03.02</t>
  </si>
  <si>
    <t>PATRIMONIO - EDUCACAO</t>
  </si>
  <si>
    <t>2.03.02.01</t>
  </si>
  <si>
    <t>PATRIMONIO LIQUIDO - EDUCACAO</t>
  </si>
  <si>
    <t>2.03.02.01.01</t>
  </si>
  <si>
    <t>2.03.02.01.01.001</t>
  </si>
  <si>
    <t>2.03.02.01.01.002</t>
  </si>
  <si>
    <t>2.03.02.01.01.003</t>
  </si>
  <si>
    <t>2.03.02.01.01.004</t>
  </si>
  <si>
    <t>2.03.02.01.01.005</t>
  </si>
  <si>
    <t>AJUSTE EXERCICIOS ANTERIORES</t>
  </si>
  <si>
    <t>2.03.02.01.01.006</t>
  </si>
  <si>
    <t>AJUSTE DE AVALIACAO PATRIMONIAL</t>
  </si>
  <si>
    <t>2.03.02.02</t>
  </si>
  <si>
    <t>TRANSFERENCIAS - EDUCACAO</t>
  </si>
  <si>
    <t>2.03.02.02.01</t>
  </si>
  <si>
    <t>2.03.02.02.01.001</t>
  </si>
  <si>
    <t>TRANSF. DINHEIRO CSC/RJ - CUSTEIO</t>
  </si>
  <si>
    <t>2.03.02.02.01.002</t>
  </si>
  <si>
    <t>TRANSF. DINHEIRO CRECHE/RJ - CUSTEIO</t>
  </si>
  <si>
    <t>2.03.02.02.01.003</t>
  </si>
  <si>
    <t>TRANSF. DINHEIRO CSC/MG - CUSTEIO</t>
  </si>
  <si>
    <t>2.03.02.02.01.004</t>
  </si>
  <si>
    <t>TRANSF. DINHEIRO CSC/SP - CUSTEIO</t>
  </si>
  <si>
    <t>2.03.02.02.01.005</t>
  </si>
  <si>
    <t>TRANSF. DINHEIRO NESC - CUSTEIO</t>
  </si>
  <si>
    <t>2.03.02.02.01.006</t>
  </si>
  <si>
    <t>TRANSF. DINHEIRO ESC/ES - CUSTEIO</t>
  </si>
  <si>
    <t>2.03.02.02.01.007</t>
  </si>
  <si>
    <t>TRANSF. DINHEIRO CSC/GO - CUSTEIO</t>
  </si>
  <si>
    <t>2.03.02.02.01.008</t>
  </si>
  <si>
    <t>TRANSF. DINHEIRO CSF - CUSTEIO</t>
  </si>
  <si>
    <t>2.03.02.02.01.009</t>
  </si>
  <si>
    <t>TRANSF. DINHEIRO CCVM - CUSTEIO</t>
  </si>
  <si>
    <t>2.03.02.02.01.010</t>
  </si>
  <si>
    <t>TRANSF. DINHEIRO CML - CUSTEIO</t>
  </si>
  <si>
    <t>2.03.02.02.01.011</t>
  </si>
  <si>
    <t>TRANSF. EM MATERIAIS - CSC/RJ</t>
  </si>
  <si>
    <t>2.03.02.02.01.012</t>
  </si>
  <si>
    <t>TRANSF. EM MATERIAIS - CRECHE/RJ</t>
  </si>
  <si>
    <t>2.03.02.02.01.013</t>
  </si>
  <si>
    <t>TRANSF. EM MATERIAIS - CSC/MG</t>
  </si>
  <si>
    <t>2.03.02.02.01.014</t>
  </si>
  <si>
    <t>TRANSF. EM MATERIAIS - CSC/SP</t>
  </si>
  <si>
    <t>2.03.02.02.01.015</t>
  </si>
  <si>
    <t>TRANSF. EM MATERIAIS - NESC</t>
  </si>
  <si>
    <t>2.03.02.02.01.016</t>
  </si>
  <si>
    <t>TRANSF. EM MATERIAIS - ESC/ES</t>
  </si>
  <si>
    <t>2.03.02.02.01.017</t>
  </si>
  <si>
    <t>TRANSF. EM MATERIAIS - CSC/GO</t>
  </si>
  <si>
    <t>2.03.02.02.01.018</t>
  </si>
  <si>
    <t>TRANSF. EM MATERIAIS - CSF</t>
  </si>
  <si>
    <t>2.03.02.02.01.019</t>
  </si>
  <si>
    <t>TRANSF. EM MATERIAIS - CCVM</t>
  </si>
  <si>
    <t>2.03.02.02.01.020</t>
  </si>
  <si>
    <t>TRANSF. EM MATERIAIS - CML</t>
  </si>
  <si>
    <t>2.03.02.02.01.021</t>
  </si>
  <si>
    <t>TRANSF.DINHEIRO CSC/RJ - INVESTIMENTO</t>
  </si>
  <si>
    <t>2.03.02.02.01.022</t>
  </si>
  <si>
    <t>TRANSF. DINHEIRO CRECHE/RJ - INVESTIMENTO</t>
  </si>
  <si>
    <t>2.03.02.02.01.023</t>
  </si>
  <si>
    <t>TRANSF. DINHEIRO CSC/MG - INVESTIMENTO</t>
  </si>
  <si>
    <t>2.03.02.02.01.024</t>
  </si>
  <si>
    <t>TRANSF. DINHEIRO CSC/SP - INVESTIMENTO</t>
  </si>
  <si>
    <t>2.03.02.02.01.025</t>
  </si>
  <si>
    <t>TRANSF. DINHEIRO NESC - INVESTIMENTO</t>
  </si>
  <si>
    <t>2.03.02.02.01.026</t>
  </si>
  <si>
    <t>TRANSF. DINHEIRO ESC/ES - INVESTIMENTO</t>
  </si>
  <si>
    <t>2.03.02.02.01.027</t>
  </si>
  <si>
    <t>TRANSF. DINHEIRO CSC/GO - INVESTIMENTO</t>
  </si>
  <si>
    <t>2.03.02.02.01.028</t>
  </si>
  <si>
    <t>TRANSF. DINHEIRO CSF - INVESTIMENTO</t>
  </si>
  <si>
    <t>2.03.02.02.01.029</t>
  </si>
  <si>
    <t>TRANSF. DINHEIRO CCVM - INVESTIMENTO</t>
  </si>
  <si>
    <t>2.03.02.02.01.030</t>
  </si>
  <si>
    <t>TRANSF. DINHEIRO CML - INVESTIMENTO</t>
  </si>
  <si>
    <t>2.03.02.02.01.031</t>
  </si>
  <si>
    <t>TRANSF.DINHEIRO CMR - CUSTEIO</t>
  </si>
  <si>
    <t>2.03.02.02.01.032</t>
  </si>
  <si>
    <t>TRANSF.DINHEIRO CMR - INVESTIMENTO</t>
  </si>
  <si>
    <t>2.03.02.02.01.033</t>
  </si>
  <si>
    <t>TRANSF.EM MATERIAIS  - CMR</t>
  </si>
  <si>
    <t>2.03.02.02.01.034</t>
  </si>
  <si>
    <t>TRANSF. DINHEIRO CSJI - CUSTEIO</t>
  </si>
  <si>
    <t>2.03.02.02.01.035</t>
  </si>
  <si>
    <t>TRANSF. DINHEIRO CSJI - INVESTIMENTO</t>
  </si>
  <si>
    <t>2.03.02.02.01.036</t>
  </si>
  <si>
    <t>TRANSF. EM MATERIAIS - CSJI</t>
  </si>
  <si>
    <t>2.03.02.02.01.037</t>
  </si>
  <si>
    <t>2.03.02.02.02</t>
  </si>
  <si>
    <t>2.03.02.02.02.001</t>
  </si>
  <si>
    <t>TRANSFERENCIA IRRF - COL. CRECHE/RJ</t>
  </si>
  <si>
    <t>2.03.02.02.02.002</t>
  </si>
  <si>
    <t>TRANSFERENCIA CONTRIBUICOES - COL. CRECHE/RJ</t>
  </si>
  <si>
    <t>2.03.02.02.02.003</t>
  </si>
  <si>
    <t>TRANSFERENCIA IRRF - CSC/MG</t>
  </si>
  <si>
    <t>2.03.02.02.02.004</t>
  </si>
  <si>
    <t>TRANSFERENCIA CONTRIBUICOES - CSC/MG</t>
  </si>
  <si>
    <t>2.03.02.02.02.005</t>
  </si>
  <si>
    <t>TRANSFERENCIA IRRF - CSC/SP</t>
  </si>
  <si>
    <t>2.03.02.02.02.006</t>
  </si>
  <si>
    <t>TRANSFERENCIA CONTRIBUICOES - CSC/SP</t>
  </si>
  <si>
    <t>2.03.02.02.02.007</t>
  </si>
  <si>
    <t>TRANSFERENCIA IRRF - NESC/SP</t>
  </si>
  <si>
    <t>2.03.02.02.02.008</t>
  </si>
  <si>
    <t>TRANSFERENCIA CONTRIBUICOES - NESC/SP</t>
  </si>
  <si>
    <t>2.03.02.02.02.009</t>
  </si>
  <si>
    <t>TRANSFERENCIA IRRF - ESC/ES</t>
  </si>
  <si>
    <t>2.03.02.02.02.010</t>
  </si>
  <si>
    <t>TRANSFERENCIA CONTRIBUICOES - ESC/ES</t>
  </si>
  <si>
    <t>2.03.02.02.02.011</t>
  </si>
  <si>
    <t>TRANSFERENCIA IRRF - CSC/GO</t>
  </si>
  <si>
    <t>2.03.02.02.02.012</t>
  </si>
  <si>
    <t>TRANSFERENCIA CONTRIBUICOES - CSC/GO</t>
  </si>
  <si>
    <t>2.03.02.02.02.013</t>
  </si>
  <si>
    <t>TRANSFERENCIA IRRF - CSF</t>
  </si>
  <si>
    <t>2.03.02.02.02.014</t>
  </si>
  <si>
    <t>TRANSFERENCIA CONTRIBUICOES - CSF</t>
  </si>
  <si>
    <t>2.03.02.02.02.015</t>
  </si>
  <si>
    <t>TRANSFERENCIA IRRF - CCVM</t>
  </si>
  <si>
    <t>2.03.02.02.02.016</t>
  </si>
  <si>
    <t>TRANSFERENCIA CONTRIBUICOES - CCVM</t>
  </si>
  <si>
    <t>2.03.02.02.02.017</t>
  </si>
  <si>
    <t>TRANSFERENCIA IRRF - CML</t>
  </si>
  <si>
    <t>2.03.02.02.02.018</t>
  </si>
  <si>
    <t>TRANSFERENCIA CONTRIBUICOES - CML</t>
  </si>
  <si>
    <t>2.03.02.02.02.019</t>
  </si>
  <si>
    <t>TRANSFERENCIA IRRF - CMR</t>
  </si>
  <si>
    <t>2.03.02.02.02.020</t>
  </si>
  <si>
    <t>TRANSFERENCIA CONTRIBUICOES - CMR</t>
  </si>
  <si>
    <t>2.03.02.02.02.021</t>
  </si>
  <si>
    <t>TRANSFERENCIA IRRF - CSJI</t>
  </si>
  <si>
    <t>2.03.02.02.02.022</t>
  </si>
  <si>
    <t>TRANSFERENCIA CONTRIBUICOES - CSJI</t>
  </si>
  <si>
    <t>2.03.03</t>
  </si>
  <si>
    <t>PATRIMONIO - ASSISTENCIA SOCIAL</t>
  </si>
  <si>
    <t>2.03.03.01</t>
  </si>
  <si>
    <t>PATRIMONIO LIQUIDO - ASSISTENCIA SOCIAL</t>
  </si>
  <si>
    <t>2.03.03.01.01</t>
  </si>
  <si>
    <t>2.03.03.01.01.001</t>
  </si>
  <si>
    <t>2.03.03.01.01.002</t>
  </si>
  <si>
    <t>2.03.03.01.01.003</t>
  </si>
  <si>
    <t>2.03.03.01.01.004</t>
  </si>
  <si>
    <t>2.03.03.01.01.005</t>
  </si>
  <si>
    <t>AJUSTE EXERCICIOS ANTERIORES.</t>
  </si>
  <si>
    <t>2.03.03.01.01.006</t>
  </si>
  <si>
    <t>AJUSTE DE AVALIAÇÃO PATRIMONIAL.</t>
  </si>
  <si>
    <t>2.03.03.02</t>
  </si>
  <si>
    <t>TRANSFERENCIAS - ASSISTENCIA SOCIAL</t>
  </si>
  <si>
    <t>2.03.03.02.01</t>
  </si>
  <si>
    <t>2.03.03.02.01.001</t>
  </si>
  <si>
    <t>2.03.03.02.01.002</t>
  </si>
  <si>
    <t>2.03.03.02.01.003</t>
  </si>
  <si>
    <t>TRANSF. DINHEIRO LMR - CUSTEIO</t>
  </si>
  <si>
    <t>2.03.03.02.01.004</t>
  </si>
  <si>
    <t>TRANSF. DINHEIRO CCMR - CUSTEIO</t>
  </si>
  <si>
    <t>2.03.03.02.01.005</t>
  </si>
  <si>
    <t>2.03.03.02.01.006</t>
  </si>
  <si>
    <t>2.03.03.02.01.007</t>
  </si>
  <si>
    <t>2.03.03.02.01.008</t>
  </si>
  <si>
    <t>2.03.03.02.01.009</t>
  </si>
  <si>
    <t>2.03.03.02.01.010</t>
  </si>
  <si>
    <t>TRANSF. EM MATERIAIS - LMR</t>
  </si>
  <si>
    <t>2.03.03.02.01.011</t>
  </si>
  <si>
    <t>TRANSF. EM MATERIAIS - CCMR</t>
  </si>
  <si>
    <t>2.03.03.02.01.012</t>
  </si>
  <si>
    <t>2.03.03.02.01.013</t>
  </si>
  <si>
    <t>2.03.03.02.01.014</t>
  </si>
  <si>
    <t>2.03.03.02.01.015</t>
  </si>
  <si>
    <t>2.03.03.02.01.016</t>
  </si>
  <si>
    <t>2.03.03.02.01.017</t>
  </si>
  <si>
    <t>TRANSF. DINHEIRO LMR - INVESTIMENTO</t>
  </si>
  <si>
    <t>2.03.03.02.01.018</t>
  </si>
  <si>
    <t>TRANSF. DINHEIRO CCMR - INVESTIMENTO</t>
  </si>
  <si>
    <t>2.03.03.02.01.019</t>
  </si>
  <si>
    <t>2.03.03.02.01.020</t>
  </si>
  <si>
    <t>2.03.03.02.01.021</t>
  </si>
  <si>
    <t>2.03.03.02.01.022</t>
  </si>
  <si>
    <t>TRANSF.DINHEIRO OBRA SOCIAL - CUSTEIO</t>
  </si>
  <si>
    <t>2.03.03.02.01.023</t>
  </si>
  <si>
    <t>TRANSF.EM MATERIAIS OBRA SOCIAL</t>
  </si>
  <si>
    <t>2.03.03.02.01.024</t>
  </si>
  <si>
    <t>TRANSF.DINHEIRO OBRA SOCIAL - INVESTIMENTO</t>
  </si>
  <si>
    <t>2.03.03.02.01.025</t>
  </si>
  <si>
    <t>TRANSF. DINHEIRO RSC - CUSTEIO</t>
  </si>
  <si>
    <t>2.03.03.02.01.026</t>
  </si>
  <si>
    <t>TRANSF. EM MATERIAIS - RSC.</t>
  </si>
  <si>
    <t>2.03.03.02.01.027</t>
  </si>
  <si>
    <t>TRANSF. DINHEIRO RSC - INVESTIMENTO.</t>
  </si>
  <si>
    <t>2.03.03.02.01.028</t>
  </si>
  <si>
    <t>2.03.03.02.02</t>
  </si>
  <si>
    <t>2.03.03.02.02.001</t>
  </si>
  <si>
    <t>TRANSFERENCIA IRRF - CRECHE/RJ</t>
  </si>
  <si>
    <t>2.03.03.02.02.002</t>
  </si>
  <si>
    <t>TRANSFERENCIA CONTRIBUICOES - CRECHE/RJ</t>
  </si>
  <si>
    <t>2.03.03.02.02.003</t>
  </si>
  <si>
    <t>TRANSFERENCIA IRRF - NESC</t>
  </si>
  <si>
    <t>2.03.03.02.02.004</t>
  </si>
  <si>
    <t>TRANSFERENCIA CONTRIBUICOES - NESC</t>
  </si>
  <si>
    <t>2.03.03.02.02.005</t>
  </si>
  <si>
    <t>TRANSFERENCIA IRRF - LMR</t>
  </si>
  <si>
    <t>2.03.03.02.02.006</t>
  </si>
  <si>
    <t>TRANSFERENCIA CONTRIBUICOES - LMR</t>
  </si>
  <si>
    <t>2.03.03.02.02.007</t>
  </si>
  <si>
    <t>TRANSFERENCIA IRRF - CCMR</t>
  </si>
  <si>
    <t>2.03.03.02.02.008</t>
  </si>
  <si>
    <t>TRANSFERENCIA CONTRIBUICOES - CCMR</t>
  </si>
  <si>
    <t>2.03.03.02.02.009</t>
  </si>
  <si>
    <t>2.03.03.02.02.010</t>
  </si>
  <si>
    <t>2.03.03.02.02.011</t>
  </si>
  <si>
    <t>2.03.03.02.02.012</t>
  </si>
  <si>
    <t>2.03.03.02.02.013</t>
  </si>
  <si>
    <t>2.03.03.02.02.014</t>
  </si>
  <si>
    <t>2.03.03.02.02.015</t>
  </si>
  <si>
    <t>TRANSFERENCIA IRRF - OBRA SOCIAL</t>
  </si>
  <si>
    <t>2.03.03.02.02.016</t>
  </si>
  <si>
    <t>TRANSFERENCIA CONTRIBUICOES - OBRA SOCIAL</t>
  </si>
  <si>
    <t>2.03.03.02.02.017</t>
  </si>
  <si>
    <t>TRANSFERENCIA IRRF - RSC</t>
  </si>
  <si>
    <t>2.03.03.02.02.018</t>
  </si>
  <si>
    <t>TRANSFERENCIA CONTRIBUICOES - RSC</t>
  </si>
  <si>
    <t>2.04</t>
  </si>
  <si>
    <t>2.04.01</t>
  </si>
  <si>
    <t>2.04.01.01</t>
  </si>
  <si>
    <t>2.04.01.01.01</t>
  </si>
  <si>
    <t>2.04.01.01.01.001</t>
  </si>
  <si>
    <t>2.04.01.01.01.002</t>
  </si>
  <si>
    <t>2.04.01.01.01.003</t>
  </si>
  <si>
    <t>2.04.01.01.01.004</t>
  </si>
  <si>
    <t>2.04.01.01.01.005</t>
  </si>
  <si>
    <t>2.04.01.01.01.006</t>
  </si>
  <si>
    <t>BENS DE TERCEIRO EM NOSSO PODER.</t>
  </si>
  <si>
    <t>3.01.01.01</t>
  </si>
  <si>
    <t>RECEITAS C/ PAC. PARTICULARES</t>
  </si>
  <si>
    <t>3.01.01.01.01</t>
  </si>
  <si>
    <t>3.01.01.01.01.001</t>
  </si>
  <si>
    <t>DIARIAS</t>
  </si>
  <si>
    <t>3.01.01.01.01.002</t>
  </si>
  <si>
    <t>TAXAS</t>
  </si>
  <si>
    <t>3.01.01.01.01.003</t>
  </si>
  <si>
    <t>3.01.01.01.01.004</t>
  </si>
  <si>
    <t>3.01.01.01.01.005</t>
  </si>
  <si>
    <t>MATERIAIS ESPECIAIS (OPME)</t>
  </si>
  <si>
    <t>3.01.01.01.01.006</t>
  </si>
  <si>
    <t>EXAMES E DIAGNOSTICOS (SADT)</t>
  </si>
  <si>
    <t>3.01.01.01.01.007</t>
  </si>
  <si>
    <t>PACOTES ESPECIAIS</t>
  </si>
  <si>
    <t>3.01.01.01.01.008</t>
  </si>
  <si>
    <t>GASTOS EXTRAS</t>
  </si>
  <si>
    <t>3.01.01.01.01.009</t>
  </si>
  <si>
    <t>RECEITAS A FATURAR.</t>
  </si>
  <si>
    <t>3.01.01.01.01.010</t>
  </si>
  <si>
    <t>PROCEDIMENTOS CLINICOS E CIRURGICOS</t>
  </si>
  <si>
    <t>3.01.01.01.01.011</t>
  </si>
  <si>
    <t>HONORARIOS MEDICOS</t>
  </si>
  <si>
    <t>3.01.01.01.01.012</t>
  </si>
  <si>
    <t>( - ) DESCONTOS INCONDICIONAIS</t>
  </si>
  <si>
    <t>3.01.01.01.01.013</t>
  </si>
  <si>
    <t>DESCONTO COMERCIAL PACIENTES PARTICULARES</t>
  </si>
  <si>
    <t>3.01.01.01.01.014</t>
  </si>
  <si>
    <t>3.01.01.01.02</t>
  </si>
  <si>
    <t>( - ) GRATUIDADE CONCEDIDA</t>
  </si>
  <si>
    <t>3.01.01.01.02.001</t>
  </si>
  <si>
    <t>( - ) PNP DIARIAS</t>
  </si>
  <si>
    <t>3.01.01.01.02.002</t>
  </si>
  <si>
    <t>( - ) PNP - TAXAS</t>
  </si>
  <si>
    <t>3.01.01.01.02.003</t>
  </si>
  <si>
    <t>( - ) PNP - GASES MEDICINAIS</t>
  </si>
  <si>
    <t>3.01.01.01.02.004</t>
  </si>
  <si>
    <t>( - ) PNP - MATERIAIS E MEDICAMENTOS</t>
  </si>
  <si>
    <t>3.01.01.01.02.005</t>
  </si>
  <si>
    <t>( - ) PNP - MATERIAIS ESPECIAIS (OPME)</t>
  </si>
  <si>
    <t>3.01.01.01.02.006</t>
  </si>
  <si>
    <t>( - ) PNP - EXAMES E DIAGNOSTICOS (SADT)</t>
  </si>
  <si>
    <t>3.01.01.01.02.007</t>
  </si>
  <si>
    <t>( - ) PNP - PACOTES ESPECIAIS</t>
  </si>
  <si>
    <t>3.01.01.01.02.008</t>
  </si>
  <si>
    <t>( - ) PNP - GASTOS EXTRAS</t>
  </si>
  <si>
    <t>3.01.01.01.02.009</t>
  </si>
  <si>
    <t>( - ) PNP - PROCEDIMENTOS CLINICOS E CIRURGICOS</t>
  </si>
  <si>
    <t>3.01.01.01.02.010</t>
  </si>
  <si>
    <t>(-) PNP – HONORARIOS MEDICOS</t>
  </si>
  <si>
    <t>3.01.01.02</t>
  </si>
  <si>
    <t>RECEITAS C/ PAC. CONVENIOS</t>
  </si>
  <si>
    <t>3.01.01.02.01</t>
  </si>
  <si>
    <t>3.01.01.02.01.001</t>
  </si>
  <si>
    <t>3.01.01.02.01.002</t>
  </si>
  <si>
    <t>3.01.01.02.01.003</t>
  </si>
  <si>
    <t>3.01.01.02.01.004</t>
  </si>
  <si>
    <t>3.01.01.02.01.005</t>
  </si>
  <si>
    <t>3.01.01.02.01.006</t>
  </si>
  <si>
    <t>3.01.01.02.01.007</t>
  </si>
  <si>
    <t>3.01.01.02.01.008</t>
  </si>
  <si>
    <t>3.01.01.02.01.009</t>
  </si>
  <si>
    <t>RECEITAS A  FATURAR</t>
  </si>
  <si>
    <t>3.01.01.02.01.010</t>
  </si>
  <si>
    <t>3.01.01.02.01.011</t>
  </si>
  <si>
    <t>3.01.01.02.01.012</t>
  </si>
  <si>
    <t>(+/-)EXCLUSÃO (REVERSÃO) DE PROCED. NÃO AUTORIZ. - CONVÊNIOS</t>
  </si>
  <si>
    <t>3.01.01.02.01.013</t>
  </si>
  <si>
    <t>(-/+) AJUSTE DE RECEITAS DE CONVÊNIOS</t>
  </si>
  <si>
    <t>3.01.01.02.01.014</t>
  </si>
  <si>
    <t>(+/-) AJUSTE DE VARIABILIDADE DA RECEITA - CONVENIOS</t>
  </si>
  <si>
    <t>3.01.01.02.02</t>
  </si>
  <si>
    <t>( - ) REJEICAO DE CONTAS-CONVENIOS</t>
  </si>
  <si>
    <t>3.01.01.02.02.001</t>
  </si>
  <si>
    <t>( - ) REJEICAO DE CONTAS CONVENIOS</t>
  </si>
  <si>
    <t>3.01.01.02.02.002</t>
  </si>
  <si>
    <t>( - ) DESCONTO COMERCIAL / CONVENIOS</t>
  </si>
  <si>
    <t>3.01.01.03</t>
  </si>
  <si>
    <t>RECEITAS COM PACIENTES - SUS</t>
  </si>
  <si>
    <t>3.01.01.03.01</t>
  </si>
  <si>
    <t>RECEITAS C/ PAC. SUS INTERNADO</t>
  </si>
  <si>
    <t>3.01.01.03.01.001</t>
  </si>
  <si>
    <t>3.01.01.03.01.002</t>
  </si>
  <si>
    <t>3.01.01.03.01.003</t>
  </si>
  <si>
    <t>3.01.01.03.01.004</t>
  </si>
  <si>
    <t>3.01.01.03.01.005</t>
  </si>
  <si>
    <t>3.01.01.03.01.006</t>
  </si>
  <si>
    <t>3.01.01.03.01.007</t>
  </si>
  <si>
    <t>ALTA COMPLEXIDADE</t>
  </si>
  <si>
    <t>3.01.01.03.01.008</t>
  </si>
  <si>
    <t>CONTRATUALIZACAO</t>
  </si>
  <si>
    <t>3.01.01.03.01.009</t>
  </si>
  <si>
    <t>RECEITAS  A FATURAR</t>
  </si>
  <si>
    <t>3.01.01.03.01.010</t>
  </si>
  <si>
    <t>INCENTIVO GOVERNAMENTAL</t>
  </si>
  <si>
    <t>3.01.01.03.01.011</t>
  </si>
  <si>
    <t>3.01.01.03.01.012</t>
  </si>
  <si>
    <t>3.01.01.03.02</t>
  </si>
  <si>
    <t>RECEITAS C/ PAC. SUS EXTERNOS</t>
  </si>
  <si>
    <t>3.01.01.03.02.001</t>
  </si>
  <si>
    <t>3.01.01.03.02.002</t>
  </si>
  <si>
    <t>3.01.01.03.02.003</t>
  </si>
  <si>
    <t>3.01.01.03.02.004</t>
  </si>
  <si>
    <t>3.01.01.03.02.005</t>
  </si>
  <si>
    <t>3.01.01.03.02.006</t>
  </si>
  <si>
    <t>3.01.01.03.02.007</t>
  </si>
  <si>
    <t>3.01.01.03.02.008</t>
  </si>
  <si>
    <t>3.01.01.03.02.009</t>
  </si>
  <si>
    <t>RECEITAS. A FATURAR</t>
  </si>
  <si>
    <t>3.01.01.03.02.010</t>
  </si>
  <si>
    <t>3.01.01.03.02.011</t>
  </si>
  <si>
    <t>3.01.01.03.02.012</t>
  </si>
  <si>
    <t>3.01.01.03.03</t>
  </si>
  <si>
    <t>( - )REJEICAO DE CONTAS - SUS</t>
  </si>
  <si>
    <t>3.01.01.03.03.001</t>
  </si>
  <si>
    <t>3.01.01.03.04</t>
  </si>
  <si>
    <t>( - )DEVOLUCAO DE RECEITAS SUS</t>
  </si>
  <si>
    <t>3.01.01.03.04.001</t>
  </si>
  <si>
    <t>( - )DEVOLUCAO DE REPASSE CONTRATUAL</t>
  </si>
  <si>
    <t>3.01.01.03.05</t>
  </si>
  <si>
    <t>(+/-) AJUSTE DE VARIABILIDADE DA RECEITA</t>
  </si>
  <si>
    <t>3.01.01.03.05.001</t>
  </si>
  <si>
    <t>(+/-) AJUSTE DE VARIABILIDADE DA RECEITA - SUS</t>
  </si>
  <si>
    <t>3.01.01.04</t>
  </si>
  <si>
    <t>RECEITAS COM PACIENTES RESIDENTES</t>
  </si>
  <si>
    <t>3.01.01.04.01</t>
  </si>
  <si>
    <t>3.01.01.04.01.001</t>
  </si>
  <si>
    <t>MENSALIDADES</t>
  </si>
  <si>
    <t>3.01.01.04.01.002</t>
  </si>
  <si>
    <t>GENEROS ALIMENTICIOS E BEBIDAS</t>
  </si>
  <si>
    <t>3.01.01.04.01.003</t>
  </si>
  <si>
    <t>TELEFONE E FAX</t>
  </si>
  <si>
    <t>3.01.01.04.01.004</t>
  </si>
  <si>
    <t>3.01.01.04.01.005</t>
  </si>
  <si>
    <t>LOCACOES</t>
  </si>
  <si>
    <t>3.01.01.04.01.006</t>
  </si>
  <si>
    <t>HOME - CARE</t>
  </si>
  <si>
    <t>3.01.01.04.01.007</t>
  </si>
  <si>
    <t>CABELEREIRO</t>
  </si>
  <si>
    <t>3.01.01.04.01.008</t>
  </si>
  <si>
    <t>3.01.01.04.01.009</t>
  </si>
  <si>
    <t>OXIGENIO</t>
  </si>
  <si>
    <t>3.01.01.04.01.010</t>
  </si>
  <si>
    <t>3.01.01.04.01.011</t>
  </si>
  <si>
    <t>3.01.01.04.01.012</t>
  </si>
  <si>
    <t>ESTACIONAMENTO</t>
  </si>
  <si>
    <t>3.01.01.04.02</t>
  </si>
  <si>
    <t>( - )PACIENTES RESIDENTES NAO PAGANTES</t>
  </si>
  <si>
    <t>3.01.01.04.02.001</t>
  </si>
  <si>
    <t>( - )PACIENTES NAO PAGANTES</t>
  </si>
  <si>
    <t>3.01.01.05.01</t>
  </si>
  <si>
    <t>3.01.01.05.01.001</t>
  </si>
  <si>
    <t>TAXA ADMINISTRATIVA</t>
  </si>
  <si>
    <t>3.01.01.05.01.002</t>
  </si>
  <si>
    <t>ACORDOS DE COOPERAÇÃO EDUCACIONAL</t>
  </si>
  <si>
    <t>3.01.01.05.02.001</t>
  </si>
  <si>
    <t>RECEITAS C/CONTRATO DE GESTAO - FEDERAL</t>
  </si>
  <si>
    <t>RECEITAS C/CONTRATO DE GESTAO - ESTADUAL</t>
  </si>
  <si>
    <t>3.01.01.05.02.003</t>
  </si>
  <si>
    <t>RECEITAS C/CONTRATO DE GESTAO - MUNICIPAL</t>
  </si>
  <si>
    <t>3.01.01.05.02.004</t>
  </si>
  <si>
    <t>(-) REJEIÇÃO DE CONTRATO DE GESTÃO - FEDERAL</t>
  </si>
  <si>
    <t>3.01.01.05.02.005</t>
  </si>
  <si>
    <t>(-) REJEIÇÃO DE CONTRATO DE GESTÃO - ESTADUAL</t>
  </si>
  <si>
    <t>3.01.01.05.02.006</t>
  </si>
  <si>
    <t>(-) REJEIÇÃO DE CONTRATO DE GESTÃO - MUNICIPAL</t>
  </si>
  <si>
    <t>RECEITAS COM DEPRECIAÇÃO C/CONTRATO GESTÃO</t>
  </si>
  <si>
    <t>3.01.01.05.02.008</t>
  </si>
  <si>
    <t>RECEITAS C/CONTRATO DE GESTAO - INVESTIMENTO</t>
  </si>
  <si>
    <t>3.01.01.05.02.997</t>
  </si>
  <si>
    <t>(-) REPASSE DESTINADO A IMOBILIZADO - FEDERAL</t>
  </si>
  <si>
    <t>3.01.01.05.02.998</t>
  </si>
  <si>
    <t>(-) REPASSE DESTINADO A IMOBILIZADO - ESTADUAL</t>
  </si>
  <si>
    <t>3.01.01.05.02.999</t>
  </si>
  <si>
    <t>(-) REPASSE DESTINADO A IMOBILIZADO - MUNICIPAL</t>
  </si>
  <si>
    <t>3.01.01.05.03.001</t>
  </si>
  <si>
    <t>MUNICIPAL</t>
  </si>
  <si>
    <t>3.01.01.05.03.003</t>
  </si>
  <si>
    <t>FEDERAL</t>
  </si>
  <si>
    <t>3.01.01.05.03.004</t>
  </si>
  <si>
    <t>EMENDA PARLAMENTAR – MUNICIPAL</t>
  </si>
  <si>
    <t>3.01.01.05.03.005</t>
  </si>
  <si>
    <t>EMENDA PARLAMENTAR – ESTADUAL</t>
  </si>
  <si>
    <t>3.01.01.05.03.006</t>
  </si>
  <si>
    <t>EMENDA PARLAMENTAR – FEDERAL</t>
  </si>
  <si>
    <t>3.01.01.05.03.007</t>
  </si>
  <si>
    <t>INCENTIVO FISCAL</t>
  </si>
  <si>
    <t>3.01.01.05.04.001</t>
  </si>
  <si>
    <t>EM DINHEIRO - PF</t>
  </si>
  <si>
    <t>3.01.01.05.04.002</t>
  </si>
  <si>
    <t>EM MATERIAIS - PF</t>
  </si>
  <si>
    <t>3.01.01.05.04.003</t>
  </si>
  <si>
    <t>EM DINHEIRO - PJ</t>
  </si>
  <si>
    <t>3.01.01.05.05.001</t>
  </si>
  <si>
    <t>ALUGUEIS</t>
  </si>
  <si>
    <t>3.01.01.05.05.002</t>
  </si>
  <si>
    <t>UTILIDADES A FUNCIONARIOS</t>
  </si>
  <si>
    <t>3.01.01.05.05.003</t>
  </si>
  <si>
    <t>RECUPERACOES DE DESPESAS GERAIS</t>
  </si>
  <si>
    <t>3.01.01.05.05.004</t>
  </si>
  <si>
    <t>EXTRAORDINARIAS</t>
  </si>
  <si>
    <t>3.01.01.05.05.005</t>
  </si>
  <si>
    <t>REFEITORIO</t>
  </si>
  <si>
    <t>3.01.01.05.05.006</t>
  </si>
  <si>
    <t>VENDA DE SUCATAS</t>
  </si>
  <si>
    <t>3.01.01.05.05.008</t>
  </si>
  <si>
    <t>RECUPERACAO DESP. C/ MATERIAIS</t>
  </si>
  <si>
    <t>3.01.01.05.05.009</t>
  </si>
  <si>
    <t>REND.SERV. APOIO AO PACIENTE ACOMPANHANTE</t>
  </si>
  <si>
    <t>3.01.01.05.05.010</t>
  </si>
  <si>
    <t>RECEITAS COM BAZAR E EVENTOS</t>
  </si>
  <si>
    <t>3.01.01.05.05.011</t>
  </si>
  <si>
    <t>RECUPERACAO DESPESAS COM SERVS CONTRATADOS</t>
  </si>
  <si>
    <t>3.01.01.05.05.012</t>
  </si>
  <si>
    <t>TRABALHO VOLUNTÁRIO</t>
  </si>
  <si>
    <t>3.01.01.05.05.989</t>
  </si>
  <si>
    <t>RECUPERAÇÃO DE PERDAS EM CONTAS A RECEBER - PARTICULARES</t>
  </si>
  <si>
    <t>3.01.01.05.05.990</t>
  </si>
  <si>
    <t>RECUPERAÇÃO DE PERDAS EM CONTAS A RECEBER - SUS</t>
  </si>
  <si>
    <t>3.01.01.05.05.991</t>
  </si>
  <si>
    <t>REVERSÃO PARA PERDAS EM CHEQUES DEVOLVIDOS</t>
  </si>
  <si>
    <t>3.01.01.05.05.992</t>
  </si>
  <si>
    <t>RECUPERACAO DE PERDAS EM CONTAS A RECEBER - CONVENIOS</t>
  </si>
  <si>
    <t>3.01.01.05.05.993</t>
  </si>
  <si>
    <t>REVERSAO DE PROVISAO - PACIENTE SUS</t>
  </si>
  <si>
    <t>3.01.01.05.05.994</t>
  </si>
  <si>
    <t>REVERSAO DE PROVISAO - CONTINGENTES TRIBUTARIOS</t>
  </si>
  <si>
    <t>3.01.01.05.05.995</t>
  </si>
  <si>
    <t>REVERSAO DE PROVISOES - PACIENTES PARTICULARES</t>
  </si>
  <si>
    <t>3.01.01.05.05.996</t>
  </si>
  <si>
    <t>REVERSAO DE PROVISOES - PACIENTES CONVENIOS</t>
  </si>
  <si>
    <t>3.01.01.05.05.997</t>
  </si>
  <si>
    <t>REVERSAO DE PROVISOES - PACIENTES JURIDICOS</t>
  </si>
  <si>
    <t>3.01.01.05.05.998</t>
  </si>
  <si>
    <t>REVERSAO DE PROVISOES - CONTINGENCIAS TRABALHISTAS</t>
  </si>
  <si>
    <t>3.01.01.05.05.999</t>
  </si>
  <si>
    <t>REVERSAO DE PROVISOES - CONTINGENCIAS CIVEIS</t>
  </si>
  <si>
    <t>3.01.01.05.06</t>
  </si>
  <si>
    <t>GANHOS DE CAPITAL</t>
  </si>
  <si>
    <t>3.01.01.05.06.001</t>
  </si>
  <si>
    <t>GANHOS NA ALIENACAO DE BENS</t>
  </si>
  <si>
    <t>DESCONTO FINANCEIRO OBTIDO</t>
  </si>
  <si>
    <t>3.01.01.06.01.003</t>
  </si>
  <si>
    <t>VARIACAO CAMBIAL</t>
  </si>
  <si>
    <t>3.01.01.06.01.004</t>
  </si>
  <si>
    <t>JUROS ATUALIZACAO MONETARIA</t>
  </si>
  <si>
    <t>3.02</t>
  </si>
  <si>
    <t>RECEITAS - EDUCACAO</t>
  </si>
  <si>
    <t>3.02.01</t>
  </si>
  <si>
    <t>RECEITAS COM ENSINO</t>
  </si>
  <si>
    <t>3.02.01.01</t>
  </si>
  <si>
    <t>RECEITAS COM ALUNOS</t>
  </si>
  <si>
    <t>3.02.01.01.01</t>
  </si>
  <si>
    <t>CURSOS - INFANTIL, FUNDAMENTAL, MEDIO</t>
  </si>
  <si>
    <t>3.02.01.01.01.001</t>
  </si>
  <si>
    <t>3.02.01.01.01.002</t>
  </si>
  <si>
    <t>MATRICULAS</t>
  </si>
  <si>
    <t>3.02.01.01.01.003</t>
  </si>
  <si>
    <t>SALARIO EDUCACAO</t>
  </si>
  <si>
    <t>3.02.01.01.01.004</t>
  </si>
  <si>
    <t>TAXAS DIVERSAS</t>
  </si>
  <si>
    <t>3.02.01.01.01.005</t>
  </si>
  <si>
    <t>RECEITAS CONTRATOS DE GESTAO</t>
  </si>
  <si>
    <t>3.02.01.01.01.006</t>
  </si>
  <si>
    <t>TAXAS DIVERSAS EDUC.INFANTIL</t>
  </si>
  <si>
    <t>3.02.01.01.02</t>
  </si>
  <si>
    <t>CURSOS DE ESPECIALIZACAO</t>
  </si>
  <si>
    <t>3.02.01.01.02.001</t>
  </si>
  <si>
    <t>3.02.01.01.02.002</t>
  </si>
  <si>
    <t>3.02.01.01.02.003</t>
  </si>
  <si>
    <t>3.02.01.01.02.004</t>
  </si>
  <si>
    <t>3.02.01.01.03</t>
  </si>
  <si>
    <t>CURSOS EXTRA CURRICULARES</t>
  </si>
  <si>
    <t>3.02.01.01.03.001</t>
  </si>
  <si>
    <t>3.02.01.01.03.002</t>
  </si>
  <si>
    <t>3.02.01.01.03.003</t>
  </si>
  <si>
    <t>3.02.01.01.03.004</t>
  </si>
  <si>
    <t>3.02.01.02</t>
  </si>
  <si>
    <t>ALUNOS BOLSISTAS</t>
  </si>
  <si>
    <t>3.02.01.02.01</t>
  </si>
  <si>
    <t>( - ) ALUNOS BOLSISTAS</t>
  </si>
  <si>
    <t>3.02.01.02.01.001</t>
  </si>
  <si>
    <t>( - ) ALUNOS BOLSISTAS 100%</t>
  </si>
  <si>
    <t>3.02.01.02.01.002</t>
  </si>
  <si>
    <t>( - ) ALUNOS BOLSISTAS 50%</t>
  </si>
  <si>
    <t>3.02.01.02.01.003</t>
  </si>
  <si>
    <t>( - ) OUTROS ALUNOS BOLSISTAS</t>
  </si>
  <si>
    <t>3.02.01.02.02</t>
  </si>
  <si>
    <t>(-) GRATUIDADE CONCEDIDA.</t>
  </si>
  <si>
    <t>3.02.01.02.02.001</t>
  </si>
  <si>
    <t>ENSINO INFANTIL</t>
  </si>
  <si>
    <t>3.02.01.02.02.002</t>
  </si>
  <si>
    <t>ENSINO FUNDAMENTAL</t>
  </si>
  <si>
    <t>3.02.01.02.02.003</t>
  </si>
  <si>
    <t>ENSINO MEDIO</t>
  </si>
  <si>
    <t>3.02.01.03</t>
  </si>
  <si>
    <t>3.02.01.03.01</t>
  </si>
  <si>
    <t>3.02.01.03.01.001</t>
  </si>
  <si>
    <t>3.02.01.03.01.002</t>
  </si>
  <si>
    <t>3.02.01.03.01.003</t>
  </si>
  <si>
    <t>3.02.01.03.01.004</t>
  </si>
  <si>
    <t>3.02.01.04</t>
  </si>
  <si>
    <t>3.02.01.04.01</t>
  </si>
  <si>
    <t>3.02.01.04.01.001</t>
  </si>
  <si>
    <t>3.02.01.04.01.002</t>
  </si>
  <si>
    <t>3.02.01.04.01.003</t>
  </si>
  <si>
    <t>3.02.01.04.02</t>
  </si>
  <si>
    <t>3.02.01.04.02.001</t>
  </si>
  <si>
    <t>3.02.01.04.02.002</t>
  </si>
  <si>
    <t>3.02.01.04.02.003</t>
  </si>
  <si>
    <t>3.02.01.04.02.004</t>
  </si>
  <si>
    <t>3.02.01.04.03</t>
  </si>
  <si>
    <t>3.02.01.04.03.001</t>
  </si>
  <si>
    <t>3.02.01.04.03.002</t>
  </si>
  <si>
    <t>3.02.01.04.03.003</t>
  </si>
  <si>
    <t>3.02.01.04.03.004</t>
  </si>
  <si>
    <t>3.02.01.04.03.005</t>
  </si>
  <si>
    <t>3.02.01.04.03.006</t>
  </si>
  <si>
    <t>3.02.01.04.03.007</t>
  </si>
  <si>
    <t>3.02.01.04.03.008</t>
  </si>
  <si>
    <t>3.02.01.04.03.009</t>
  </si>
  <si>
    <t>3.02.01.04.03.010</t>
  </si>
  <si>
    <t>3.02.01.04.03.011</t>
  </si>
  <si>
    <t>CONTRIBUICAO DE ALUNOS</t>
  </si>
  <si>
    <t>3.02.01.04.03.012</t>
  </si>
  <si>
    <t>TRABALHO VOLUNTARIO</t>
  </si>
  <si>
    <t>3.02.01.04.03.013</t>
  </si>
  <si>
    <t>REVERSAO DE PROVISOES - CONTIGENCIAS TRABALHISTAS</t>
  </si>
  <si>
    <t>3.02.01.04.03.014</t>
  </si>
  <si>
    <t>REVERSAO DE PROVISOES - CONTIGENCIAS CIVEIS</t>
  </si>
  <si>
    <t>3.02.01.04.03.015</t>
  </si>
  <si>
    <t>REVERSAO DE PROVISOES - CONTINGENTES TRIBUTÁRIOS</t>
  </si>
  <si>
    <t>3.02.01.04.03.016</t>
  </si>
  <si>
    <t>RECUPERACAO DE PERDAS EM CONTAS A RECEBER</t>
  </si>
  <si>
    <t>3.02.01.04.03.999</t>
  </si>
  <si>
    <t>REVERSAO DE PROVISOES - CREDITOS DE ALUNOS</t>
  </si>
  <si>
    <t>3.02.01.04.04</t>
  </si>
  <si>
    <t>3.02.01.04.04.001</t>
  </si>
  <si>
    <t>3.03</t>
  </si>
  <si>
    <t>RECEITAS - ASSISTENCIA SOCIAL</t>
  </si>
  <si>
    <t>3.03.01</t>
  </si>
  <si>
    <t>3.03.01.01</t>
  </si>
  <si>
    <t>RECEITAS DE OBRAS SOCIAIS</t>
  </si>
  <si>
    <t>3.03.01.01.01</t>
  </si>
  <si>
    <t>3.03.01.01.01.001</t>
  </si>
  <si>
    <t>3.03.01.01.01.002</t>
  </si>
  <si>
    <t>3.03.01.01.01.003</t>
  </si>
  <si>
    <t>3.03.01.01.01.004</t>
  </si>
  <si>
    <t>JUROS E ATUALIZACAO MONETARIA</t>
  </si>
  <si>
    <t>3.03.01.01.01.005</t>
  </si>
  <si>
    <t>3.03.01.01.02</t>
  </si>
  <si>
    <t>RECEITA COM PACIENTES RESIDENTES</t>
  </si>
  <si>
    <t>3.03.01.01.02.001</t>
  </si>
  <si>
    <t>MENSALIDADE</t>
  </si>
  <si>
    <t>3.03.01.01.02.002</t>
  </si>
  <si>
    <t>GENEROS ALIMENTÍCIOS E BEBIDAS</t>
  </si>
  <si>
    <t>3.03.01.01.02.003</t>
  </si>
  <si>
    <t>TELEFONE E FAX.</t>
  </si>
  <si>
    <t>3.03.01.01.02.004</t>
  </si>
  <si>
    <t>LAVANDERIA.</t>
  </si>
  <si>
    <t>3.03.01.01.02.005</t>
  </si>
  <si>
    <t>LOCAÇÕES</t>
  </si>
  <si>
    <t>3.03.01.01.02.006</t>
  </si>
  <si>
    <t>HOME CARE</t>
  </si>
  <si>
    <t>3.03.01.01.02.007</t>
  </si>
  <si>
    <t>CABELEREIRO.</t>
  </si>
  <si>
    <t>3.03.01.01.02.008</t>
  </si>
  <si>
    <t>MATERIAIS E MEDICAMENTOS.</t>
  </si>
  <si>
    <t>3.03.01.01.02.009</t>
  </si>
  <si>
    <t>OXIGÊNIO</t>
  </si>
  <si>
    <t>3.03.01.01.02.010</t>
  </si>
  <si>
    <t>HONORÁRIOS MÉDICOS</t>
  </si>
  <si>
    <t>3.03.01.01.02.011</t>
  </si>
  <si>
    <t>RECEITAS DIVERSAS.</t>
  </si>
  <si>
    <t>3.03.01.01.02.012</t>
  </si>
  <si>
    <t>ESTACIONAMENTO.</t>
  </si>
  <si>
    <t>3.03.01.01.03</t>
  </si>
  <si>
    <t>(-) GRATUIDADE CONCEDIDA</t>
  </si>
  <si>
    <t>3.03.01.01.03.001</t>
  </si>
  <si>
    <t>(-) PACIENTES NÃO PAGANTES</t>
  </si>
  <si>
    <t>3.03.01.02</t>
  </si>
  <si>
    <t>3.03.01.02.01</t>
  </si>
  <si>
    <t>3.03.01.02.01.001</t>
  </si>
  <si>
    <t>3.03.01.02.01.002</t>
  </si>
  <si>
    <t>3.03.01.02.01.003</t>
  </si>
  <si>
    <t>3.03.01.02.02</t>
  </si>
  <si>
    <t>3.03.01.02.02.001</t>
  </si>
  <si>
    <t>3.03.01.02.02.002</t>
  </si>
  <si>
    <t>3.03.01.02.02.003</t>
  </si>
  <si>
    <t>3.03.01.02.02.004</t>
  </si>
  <si>
    <t>3.03.01.02.03</t>
  </si>
  <si>
    <t>3.03.01.02.03.001</t>
  </si>
  <si>
    <t>3.03.01.02.03.002</t>
  </si>
  <si>
    <t>3.03.01.02.03.003</t>
  </si>
  <si>
    <t>3.03.01.02.03.004</t>
  </si>
  <si>
    <t>3.03.01.02.03.005</t>
  </si>
  <si>
    <t>3.03.01.02.03.006</t>
  </si>
  <si>
    <t>3.03.01.02.03.007</t>
  </si>
  <si>
    <t>3.03.01.02.03.008</t>
  </si>
  <si>
    <t>3.03.01.02.03.009</t>
  </si>
  <si>
    <t>3.03.01.02.03.010</t>
  </si>
  <si>
    <t>3.03.01.02.03.011</t>
  </si>
  <si>
    <t>3.03.01.02.03.012</t>
  </si>
  <si>
    <t>TRABALHO  VOLUNTARIO</t>
  </si>
  <si>
    <t>3.03.01.02.03.013</t>
  </si>
  <si>
    <t>3.03.01.02.03.014</t>
  </si>
  <si>
    <t>3.03.01.02.03.015</t>
  </si>
  <si>
    <t>3.03.01.02.03.016</t>
  </si>
  <si>
    <t>3.03.01.02.03.999</t>
  </si>
  <si>
    <t>3.03.01.02.04</t>
  </si>
  <si>
    <t>3.03.01.02.04.001</t>
  </si>
  <si>
    <t>4.01.01.01.01.004</t>
  </si>
  <si>
    <t>ABONO DE FERIAS</t>
  </si>
  <si>
    <t>4.01.01.01.01.008</t>
  </si>
  <si>
    <t>ASSISTENCIA MEDICA/ODONTOLOGICA</t>
  </si>
  <si>
    <t>4.01.01.01.01.010</t>
  </si>
  <si>
    <t>CESTA BASICA</t>
  </si>
  <si>
    <t>4.01.01.01.01.013</t>
  </si>
  <si>
    <t>AUXILIO CRECHE</t>
  </si>
  <si>
    <t>4.01.01.01.01.014</t>
  </si>
  <si>
    <t>FORM. PROFISSIONAL E CONGRESSOS</t>
  </si>
  <si>
    <t>4.01.01.01.01.019</t>
  </si>
  <si>
    <t>GREMIO RECREATIVO E AUX A CULTURA E LAZER</t>
  </si>
  <si>
    <t>4.01.01.01.01.020</t>
  </si>
  <si>
    <t>SEGURO DE VIDA</t>
  </si>
  <si>
    <t>4.01.01.01.02.002</t>
  </si>
  <si>
    <t>SERV. MEDICOS PESSOAS FISICAS</t>
  </si>
  <si>
    <t>4.01.01.01.02.003</t>
  </si>
  <si>
    <t>SERV. DIVERSOS PESSOAS JURIDICAS</t>
  </si>
  <si>
    <t>4.01.01.01.02.004</t>
  </si>
  <si>
    <t>SERV. DIVERSOS PESSOAS FISICAS</t>
  </si>
  <si>
    <t>4.01.01.01.02.005</t>
  </si>
  <si>
    <t>BOLSISTAS E ESTAGIARIOS</t>
  </si>
  <si>
    <t>4.01.01.01.02.006</t>
  </si>
  <si>
    <t>INSS S/ SERVICOS AUTONOMOS</t>
  </si>
  <si>
    <t>4.01.01.01.02.007</t>
  </si>
  <si>
    <t>4.01.01.01.02.009</t>
  </si>
  <si>
    <t>CONSULTORIA DE RECURSOS HUMANOS E SAÚDE OCUPACIONAL</t>
  </si>
  <si>
    <t>4.01.01.01.02.010</t>
  </si>
  <si>
    <t>HONORÁRIOS ADVOCATÍCIOS</t>
  </si>
  <si>
    <t>4.01.01.01.02.011</t>
  </si>
  <si>
    <t>CONSULTORIA DE INFRAESTRUTURA E CONTROLE PATRIMONIAL</t>
  </si>
  <si>
    <t>4.01.01.01.02.012</t>
  </si>
  <si>
    <t>CONSULTORIA DE COMUNICAÇÃO E ASSESSORIA DE IMPRENSA</t>
  </si>
  <si>
    <t>4.01.01.01.02.013</t>
  </si>
  <si>
    <t>HONORÁRIOS DE AUDITORIA</t>
  </si>
  <si>
    <t>4.01.01.01.02.015</t>
  </si>
  <si>
    <t>PORTARIA E VIGILÂNCIA</t>
  </si>
  <si>
    <t>4.01.01.01.02.016</t>
  </si>
  <si>
    <t>CONSULTORIA EM GESTÃO DE PROJETOS</t>
  </si>
  <si>
    <t>4.01.01.01.02.021</t>
  </si>
  <si>
    <t>4.01.01.01.02.023</t>
  </si>
  <si>
    <t>SERVIÇOS TÉCNICOS DE SAÚDE - PF</t>
  </si>
  <si>
    <t>4.01.01.01.03.005</t>
  </si>
  <si>
    <t>OPME - ORTESES PROTESES E MATERIAIS ESPECIAIS</t>
  </si>
  <si>
    <t>4.01.01.01.03.011</t>
  </si>
  <si>
    <t>COMBUSTIVEIS E LUBRIFICANTES</t>
  </si>
  <si>
    <t>4.01.01.01.03.012</t>
  </si>
  <si>
    <t>GAS - GLP</t>
  </si>
  <si>
    <t>4.01.01.01.03.013</t>
  </si>
  <si>
    <t>4.01.01.01.03.015</t>
  </si>
  <si>
    <t>4.01.01.01.04</t>
  </si>
  <si>
    <t>ISENCOES E IMUNIDADE TRIBUTARIA</t>
  </si>
  <si>
    <t>4.01.01.01.04.001</t>
  </si>
  <si>
    <t>COTA PATRONAL INSS</t>
  </si>
  <si>
    <t>4.01.01.01.04.002</t>
  </si>
  <si>
    <t>COTA PATRONAL S/SERV. TERC. PF</t>
  </si>
  <si>
    <t>4.01.01.01.04.003</t>
  </si>
  <si>
    <t>COFINS</t>
  </si>
  <si>
    <t>4.01.01.01.04.004</t>
  </si>
  <si>
    <t>( - ) COTA PATRONAL - ISENCAO</t>
  </si>
  <si>
    <t>4.01.01.01.04.005</t>
  </si>
  <si>
    <t>( - ) COTA PATRONAL TERC. - ISENCAO</t>
  </si>
  <si>
    <t>4.01.01.01.04.006</t>
  </si>
  <si>
    <t>( - ) COFINS - ISENCAO</t>
  </si>
  <si>
    <t>4.01.01.01.05.001</t>
  </si>
  <si>
    <t>4.01.01.01.05.006</t>
  </si>
  <si>
    <t>FRETES E CARRETOS</t>
  </si>
  <si>
    <t>4.01.01.01.05.007</t>
  </si>
  <si>
    <t>CONDUCOES E TAXI</t>
  </si>
  <si>
    <t>4.01.01.01.05.009</t>
  </si>
  <si>
    <t>ASSINAT. JORNAIS E REVISTAS</t>
  </si>
  <si>
    <t>4.01.01.01.05.010</t>
  </si>
  <si>
    <t>PREMIOS DE SEGUROS</t>
  </si>
  <si>
    <t>4.01.01.01.05.013</t>
  </si>
  <si>
    <t>LEASING</t>
  </si>
  <si>
    <t>4.01.01.01.05.016</t>
  </si>
  <si>
    <t>UTENSILIOS DIVERSOS</t>
  </si>
  <si>
    <t>4.01.01.01.05.017</t>
  </si>
  <si>
    <t>LANCHES E REFEICOES</t>
  </si>
  <si>
    <t>4.01.01.01.05.018</t>
  </si>
  <si>
    <t>4.01.01.01.05.019</t>
  </si>
  <si>
    <t>IMPORTACAO</t>
  </si>
  <si>
    <t>4.01.01.01.05.020</t>
  </si>
  <si>
    <t>CAPELA/AUXILIO</t>
  </si>
  <si>
    <t>4.01.01.01.05.021</t>
  </si>
  <si>
    <t>PRODUTOS DE JARDINAGEM</t>
  </si>
  <si>
    <t>4.01.01.01.05.022</t>
  </si>
  <si>
    <t>EVENTOS</t>
  </si>
  <si>
    <t>4.01.01.01.05.023</t>
  </si>
  <si>
    <t>CONTAS INCOBRAVEIS - CONVÊNIOS</t>
  </si>
  <si>
    <t>4.01.01.01.05.024</t>
  </si>
  <si>
    <t>DESPESAS DE CONDOMINIO</t>
  </si>
  <si>
    <t>4.01.01.01.05.026</t>
  </si>
  <si>
    <t>INDENIZACOES POR PERDAS EM PROCESSOS JURIDICOS</t>
  </si>
  <si>
    <t>4.01.01.01.05.027</t>
  </si>
  <si>
    <t>PERDAS EM CONTAS A RECEBER - CONVENIOS</t>
  </si>
  <si>
    <t>4.01.01.01.05.030</t>
  </si>
  <si>
    <t>4.01.01.01.05.031</t>
  </si>
  <si>
    <t>DEPRECIAÇÃO DE EDIFICAÇÕES</t>
  </si>
  <si>
    <t>4.01.01.01.05.032</t>
  </si>
  <si>
    <t>DEPRECIAÇÃO DE INSTALAÇÕES</t>
  </si>
  <si>
    <t>4.01.01.01.05.033</t>
  </si>
  <si>
    <t>DEPRECIAÇÃO DE APARELHOS MEDICINA E CIRURGIA</t>
  </si>
  <si>
    <t>4.01.01.01.05.034</t>
  </si>
  <si>
    <t>DEPRECIAÇÃO DE INSTRUMENTOS DE MEDICINA E CIRURGIA</t>
  </si>
  <si>
    <t>4.01.01.01.05.035</t>
  </si>
  <si>
    <t>DEPRECIAÇÃO DE MOVEIS E MAQUINAS</t>
  </si>
  <si>
    <t>4.01.01.01.05.036</t>
  </si>
  <si>
    <t>DEPRECIAÇÃO DE VEICULOS</t>
  </si>
  <si>
    <t>4.01.01.01.05.037</t>
  </si>
  <si>
    <t>DEPRECIAÇÃO DE EQUIPAMENTOS DE PROCESSAMENTO DE DADOS</t>
  </si>
  <si>
    <t>4.01.01.01.05.038</t>
  </si>
  <si>
    <t>DEPRECIAÇÃO DE BIBLIOTECA</t>
  </si>
  <si>
    <t>4.01.01.01.05.039</t>
  </si>
  <si>
    <t>DEPRECIAÇÃO DE INSTRUMENTOS SONOROS</t>
  </si>
  <si>
    <t>4.01.01.01.05.040</t>
  </si>
  <si>
    <t>DEPRECIAÇÃO DE BENFEITORIAS</t>
  </si>
  <si>
    <t>4.01.01.01.05.041</t>
  </si>
  <si>
    <t>DEPRECIAÇÃO DE EDIFICAÇÕES REAVALIADOS</t>
  </si>
  <si>
    <t>4.01.01.01.05.042</t>
  </si>
  <si>
    <t>DEPRECIAÇÃO DE OUTROS ATIVOS</t>
  </si>
  <si>
    <t>4.01.01.01.05.043</t>
  </si>
  <si>
    <t>DEPRECIAÇÃO DE BENS ARRENDADOS</t>
  </si>
  <si>
    <t>4.01.01.01.05.044</t>
  </si>
  <si>
    <t>AMORTIZAÇÃO DE SOFTWARES</t>
  </si>
  <si>
    <t>4.01.01.01.05.045</t>
  </si>
  <si>
    <t>BENS PERMANENTES DE PEQUENO VALOR</t>
  </si>
  <si>
    <t>4.01.01.01.05.046</t>
  </si>
  <si>
    <t>PERDAS EM CONTAS A RECEBER - PARTICULARES</t>
  </si>
  <si>
    <t>4.01.01.01.05.047</t>
  </si>
  <si>
    <t>PERDAS EM CONTAS A RECEBER - SUS</t>
  </si>
  <si>
    <t>4.01.01.01.05.048</t>
  </si>
  <si>
    <t>CUSTOS MEMORANDO - AMPARO</t>
  </si>
  <si>
    <t>4.01.01.01.05.049</t>
  </si>
  <si>
    <t>(+/-) REMENSURAÇÕES DE PASSIVOS DE ARRENDAMENTOS</t>
  </si>
  <si>
    <t>4.01.01.01.05.050</t>
  </si>
  <si>
    <t>CONTAS INCOBRÁVEIS - PARTICULARES</t>
  </si>
  <si>
    <t>4.01.01.01.05.051</t>
  </si>
  <si>
    <t>CONTAS INCOBRÁVEIS - SUS</t>
  </si>
  <si>
    <t>PROV. PARA   CUSTOS DO EXERCICIO</t>
  </si>
  <si>
    <t>4.01.01.01.06.004</t>
  </si>
  <si>
    <t>PROV.CREDITO LIQUIDACAO DUVIDOSA - PACIENTE PARTICULAR</t>
  </si>
  <si>
    <t>4.01.01.01.06.005</t>
  </si>
  <si>
    <t>PROV.CREDITO LIQUIDACAO DUVIDOSA - PACIENTE CONVENIO</t>
  </si>
  <si>
    <t>4.01.01.01.06.006</t>
  </si>
  <si>
    <t>PROV.CREDITO LIQUIDACAO DUVIDOSA - PACIENTE JURIDICO</t>
  </si>
  <si>
    <t>4.01.01.01.06.007</t>
  </si>
  <si>
    <t>PROV.CONTINGENCIA TRABALHISTA</t>
  </si>
  <si>
    <t>4.01.01.01.06.008</t>
  </si>
  <si>
    <t>PROV.CONTINGENCIA CIVEL</t>
  </si>
  <si>
    <t>4.01.01.01.06.010</t>
  </si>
  <si>
    <t>PROV. CONTINGENTES TRIBUTÁRIOS</t>
  </si>
  <si>
    <t>4.01.01.01.06.011</t>
  </si>
  <si>
    <t>4.01.01.01.06.012</t>
  </si>
  <si>
    <t>4.01.01.01.06.013</t>
  </si>
  <si>
    <t>4.01.01.01.06.014</t>
  </si>
  <si>
    <t>(+/-) PROVISÃO / REVERSÃO PARA REDUÇÃO DO VALOR DE ATIVOS</t>
  </si>
  <si>
    <t>4.01.01.01.06.015</t>
  </si>
  <si>
    <t>PROVISOES PARA RESTRUTURAÇAO</t>
  </si>
  <si>
    <t>4.01.01.01.06.016</t>
  </si>
  <si>
    <t>4.01.01.01.06.017</t>
  </si>
  <si>
    <t>4.01.01.01.06.018</t>
  </si>
  <si>
    <t>PROVISÃO/REVERSÃO PARA PERDAS EM OUTRAS CONTAS A RECEBER</t>
  </si>
  <si>
    <t>4.01.01.01.07.001</t>
  </si>
  <si>
    <t>IMPOSTO PREDIAL E TERRITORIAL</t>
  </si>
  <si>
    <t>4.01.01.01.07.002</t>
  </si>
  <si>
    <t>CONTRIB. SINDICAL PATRONAL</t>
  </si>
  <si>
    <t>4.01.01.01.07.004</t>
  </si>
  <si>
    <t>TAXAS DE SERVICOS PUBLICOS</t>
  </si>
  <si>
    <t>4.01.01.01.07.005</t>
  </si>
  <si>
    <t>LEGAIS</t>
  </si>
  <si>
    <t>4.01.01.01.07.006</t>
  </si>
  <si>
    <t>4.01.01.01.07.008</t>
  </si>
  <si>
    <t>IMPOSTO S/ SERVICOS</t>
  </si>
  <si>
    <t>4.01.01.01.08.003</t>
  </si>
  <si>
    <t>4.01.01.01.08.004</t>
  </si>
  <si>
    <t>TAXA ADMINISTRATIVA DE CARTAO DE CREDITO</t>
  </si>
  <si>
    <t>4.01.01.01.08.005</t>
  </si>
  <si>
    <t>IMPOSTO OPERACOES FINANCEIRAS</t>
  </si>
  <si>
    <t>4.01.01.01.08.006</t>
  </si>
  <si>
    <t>IMPOSTO RENDA S/ APLICACAO FINANCEIRA</t>
  </si>
  <si>
    <t>4.01.01.01.08.007</t>
  </si>
  <si>
    <t>DESCONTO FINANCEIRO CONCEDIDO</t>
  </si>
  <si>
    <t>4.01.01.01.08.008</t>
  </si>
  <si>
    <t>JUROS DE ARRENDAMENTOS</t>
  </si>
  <si>
    <t>4.01.01.01.09</t>
  </si>
  <si>
    <t>PERDA DE CAPITAL</t>
  </si>
  <si>
    <t>4.01.01.01.09.001</t>
  </si>
  <si>
    <t>PERDA NA ALIENACAO DE BENS</t>
  </si>
  <si>
    <t>4.01.01.01.09.002</t>
  </si>
  <si>
    <t>RESULTADO NA BAIXA DE ARRENDAMENTOS</t>
  </si>
  <si>
    <t>4.01.01.01.10</t>
  </si>
  <si>
    <t>AUXILIOS</t>
  </si>
  <si>
    <t>4.01.01.01.10.001</t>
  </si>
  <si>
    <t>EM DINHEIRO</t>
  </si>
  <si>
    <t>4.01.01.01.10.002</t>
  </si>
  <si>
    <t>EM MATERIAIS</t>
  </si>
  <si>
    <t>4.02</t>
  </si>
  <si>
    <t>DESPESAS - EDUCACAO</t>
  </si>
  <si>
    <t>4.02.01</t>
  </si>
  <si>
    <t>DESPESAS COM ENSINO</t>
  </si>
  <si>
    <t>4.02.01.01</t>
  </si>
  <si>
    <t>CUSTOS DOS CURSOS</t>
  </si>
  <si>
    <t>4.02.01.01.01</t>
  </si>
  <si>
    <t>PESSOAL SERVICOS PROPRIOS</t>
  </si>
  <si>
    <t>4.02.01.01.01.001</t>
  </si>
  <si>
    <t>4.02.01.01.01.002</t>
  </si>
  <si>
    <t>4.02.01.01.01.003</t>
  </si>
  <si>
    <t>4.02.01.01.01.004</t>
  </si>
  <si>
    <t>4.02.01.01.01.005</t>
  </si>
  <si>
    <t>INDENIZACOES E AVISOS PREVIOS</t>
  </si>
  <si>
    <t>4.02.01.01.01.006</t>
  </si>
  <si>
    <t>CONTRIBUICOES AO F.G.T.S.</t>
  </si>
  <si>
    <t>4.02.01.01.01.007</t>
  </si>
  <si>
    <t>CONTRIBUICOES AO P.I.S.</t>
  </si>
  <si>
    <t>4.02.01.01.01.008</t>
  </si>
  <si>
    <t>4.02.01.01.01.009</t>
  </si>
  <si>
    <t>4.02.01.01.01.010</t>
  </si>
  <si>
    <t>4.02.01.01.01.011</t>
  </si>
  <si>
    <t>CONTRIBUICOES AO I.N.S.S.</t>
  </si>
  <si>
    <t>4.02.01.01.01.012</t>
  </si>
  <si>
    <t>4.02.01.01.01.013</t>
  </si>
  <si>
    <t>4.02.01.01.01.014</t>
  </si>
  <si>
    <t>FORMACAO PROFISSIONAL E CONGRESSOS</t>
  </si>
  <si>
    <t>4.02.01.01.01.015</t>
  </si>
  <si>
    <t>SEGURO DE VIDA EM GRUPO</t>
  </si>
  <si>
    <t>4.02.01.01.01.016</t>
  </si>
  <si>
    <t>4.02.01.01.01.017</t>
  </si>
  <si>
    <t>SEGURO ACIDENTE TRABALHO</t>
  </si>
  <si>
    <t>4.02.01.01.01.018</t>
  </si>
  <si>
    <t>4.02.01.01.01.019</t>
  </si>
  <si>
    <t>4.02.01.01.01.020</t>
  </si>
  <si>
    <t>4.02.01.01.02</t>
  </si>
  <si>
    <t>4.02.01.01.02.001</t>
  </si>
  <si>
    <t>SERV. ENSINO PESSOAS JURIDICAS</t>
  </si>
  <si>
    <t>4.02.01.01.02.002</t>
  </si>
  <si>
    <t>SERV. ENSINO PESSOAS FISICAS</t>
  </si>
  <si>
    <t>4.02.01.01.02.003</t>
  </si>
  <si>
    <t>4.02.01.01.02.004</t>
  </si>
  <si>
    <t>4.02.01.01.02.005</t>
  </si>
  <si>
    <t>4.02.01.01.02.006</t>
  </si>
  <si>
    <t>4.02.01.01.02.007</t>
  </si>
  <si>
    <t>4.02.01.01.02.008</t>
  </si>
  <si>
    <t>4.02.01.01.02.009</t>
  </si>
  <si>
    <t>4.02.01.01.02.010</t>
  </si>
  <si>
    <t>4.02.01.01.02.011</t>
  </si>
  <si>
    <t>4.02.01.01.02.012</t>
  </si>
  <si>
    <t>4.02.01.01.02.013</t>
  </si>
  <si>
    <t>4.02.01.01.02.014</t>
  </si>
  <si>
    <t>4.02.01.01.02.015</t>
  </si>
  <si>
    <t>4.02.01.01.02.016</t>
  </si>
  <si>
    <t>4.02.01.01.02.017</t>
  </si>
  <si>
    <t>4.02.01.01.02.018</t>
  </si>
  <si>
    <t>4.02.01.01.02.019</t>
  </si>
  <si>
    <t>4.02.01.01.02.020</t>
  </si>
  <si>
    <t>4.02.01.01.03</t>
  </si>
  <si>
    <t>MATERIAIS E COMPONENTES</t>
  </si>
  <si>
    <t>4.02.01.01.03.001</t>
  </si>
  <si>
    <t>MATERIAIS DE LIMPEZA/DESCARTAVEIS</t>
  </si>
  <si>
    <t>4.02.01.01.03.002</t>
  </si>
  <si>
    <t>4.02.01.01.03.003</t>
  </si>
  <si>
    <t>4.02.01.01.03.004</t>
  </si>
  <si>
    <t>IMPRESSOS MATERIAIS DIDATICO</t>
  </si>
  <si>
    <t>4.02.01.01.03.005</t>
  </si>
  <si>
    <t>MATERIAIS PARA   USO LABORATORIO</t>
  </si>
  <si>
    <t>4.02.01.01.03.006</t>
  </si>
  <si>
    <t>4.02.01.01.03.007</t>
  </si>
  <si>
    <t>4.02.01.01.03.008</t>
  </si>
  <si>
    <t>4.02.01.01.03.009</t>
  </si>
  <si>
    <t>IMPRESSOS E MATERIAIS DE EXPEDIENTE</t>
  </si>
  <si>
    <t>4.02.01.01.03.010</t>
  </si>
  <si>
    <t>4.02.01.01.04</t>
  </si>
  <si>
    <t>4.02.01.01.04.001</t>
  </si>
  <si>
    <t>4.02.01.01.04.002</t>
  </si>
  <si>
    <t>4.02.01.01.04.003</t>
  </si>
  <si>
    <t>4.02.01.01.04.004</t>
  </si>
  <si>
    <t>VIAGENS, AJUDA DE CUSTO E DIARIAS</t>
  </si>
  <si>
    <t>4.02.01.01.04.005</t>
  </si>
  <si>
    <t>4.02.01.01.04.006</t>
  </si>
  <si>
    <t>4.02.01.01.04.007</t>
  </si>
  <si>
    <t>4.02.01.01.04.008</t>
  </si>
  <si>
    <t>ASSINATURA DE JORNAIS E REVISTAS</t>
  </si>
  <si>
    <t>4.02.01.01.04.009</t>
  </si>
  <si>
    <t>4.02.01.01.04.010</t>
  </si>
  <si>
    <t>4.02.01.01.04.011</t>
  </si>
  <si>
    <t>4.02.01.01.04.012</t>
  </si>
  <si>
    <t>4.02.01.01.04.013</t>
  </si>
  <si>
    <t>4.02.01.01.04.014</t>
  </si>
  <si>
    <t>4.02.01.01.04.015</t>
  </si>
  <si>
    <t>4.02.01.01.04.016</t>
  </si>
  <si>
    <t>4.02.01.01.04.017</t>
  </si>
  <si>
    <t>4.02.01.01.04.018</t>
  </si>
  <si>
    <t>CONTAS INCOBRAVEIS</t>
  </si>
  <si>
    <t>4.02.01.01.04.019</t>
  </si>
  <si>
    <t>DOACOES</t>
  </si>
  <si>
    <t>4.02.01.01.04.020</t>
  </si>
  <si>
    <t>EVENTOS.</t>
  </si>
  <si>
    <t>4.02.01.01.04.021</t>
  </si>
  <si>
    <t>4.02.01.01.04.022</t>
  </si>
  <si>
    <t>4.02.01.01.04.023</t>
  </si>
  <si>
    <t>PERDAS EM CONTAS A RECEBER</t>
  </si>
  <si>
    <t>4.02.01.01.04.024</t>
  </si>
  <si>
    <t>4.02.01.01.04.025</t>
  </si>
  <si>
    <t>4.02.01.01.05</t>
  </si>
  <si>
    <t>PROVISOES PARA   CUSTO EXERCICIO</t>
  </si>
  <si>
    <t>4.02.01.01.05.001</t>
  </si>
  <si>
    <t>4.02.01.01.05.002</t>
  </si>
  <si>
    <t>4.02.01.01.05.003</t>
  </si>
  <si>
    <t>4.02.01.01.05.004</t>
  </si>
  <si>
    <t>PROV. CONTINGENCIA TRABALHISTA</t>
  </si>
  <si>
    <t>4.02.01.01.05.005</t>
  </si>
  <si>
    <t>PROV. CONTINGENCIA CIVEL</t>
  </si>
  <si>
    <t>4.02.01.01.05.006</t>
  </si>
  <si>
    <t>ENCARGOS  SOCIAIS - FERIAS</t>
  </si>
  <si>
    <t>4.02.01.01.05.007</t>
  </si>
  <si>
    <t>PROV.CREDITO LIQUIDAÇÃO DUVIDOSA - ALUNOS</t>
  </si>
  <si>
    <t>4.02.01.01.05.008</t>
  </si>
  <si>
    <t>4.02.01.01.05.009</t>
  </si>
  <si>
    <t>4.02.01.01.05.010</t>
  </si>
  <si>
    <t>4.02.01.01.06</t>
  </si>
  <si>
    <t>4.02.01.01.06.001</t>
  </si>
  <si>
    <t>4.02.01.01.06.002</t>
  </si>
  <si>
    <t>CONTRIBUICAO SIND. PATRONAL</t>
  </si>
  <si>
    <t>4.02.01.01.06.003</t>
  </si>
  <si>
    <t>CONTRIBUICAO ASSOC. CLASSE</t>
  </si>
  <si>
    <t>4.02.01.01.06.004</t>
  </si>
  <si>
    <t>4.02.01.01.06.005</t>
  </si>
  <si>
    <t>4.02.01.01.06.006</t>
  </si>
  <si>
    <t>4.02.01.01.06.007</t>
  </si>
  <si>
    <t>4.02.01.01.06.008</t>
  </si>
  <si>
    <t>IMPOSTO S/ SERVICO</t>
  </si>
  <si>
    <t>4.02.01.01.07</t>
  </si>
  <si>
    <t>ISENCOES E IMUNIDADE TRIBUTARIA.</t>
  </si>
  <si>
    <t>4.02.01.01.07.001</t>
  </si>
  <si>
    <t>4.02.01.01.07.002</t>
  </si>
  <si>
    <t>4.02.01.01.07.003</t>
  </si>
  <si>
    <t>4.02.01.01.07.004</t>
  </si>
  <si>
    <t>4.02.01.01.07.005</t>
  </si>
  <si>
    <t>4.02.01.01.07.006</t>
  </si>
  <si>
    <t>( - ) COFINS</t>
  </si>
  <si>
    <t>4.02.01.01.08</t>
  </si>
  <si>
    <t>4.02.01.01.08.001</t>
  </si>
  <si>
    <t>4.02.01.01.08.002</t>
  </si>
  <si>
    <t>4.02.01.01.08.003</t>
  </si>
  <si>
    <t>4.02.01.01.08.004</t>
  </si>
  <si>
    <t>4.02.01.01.08.005</t>
  </si>
  <si>
    <t>4.02.01.01.08.006</t>
  </si>
  <si>
    <t>IMPOSTO RENDA S/APLICACAO FINANCEIRA</t>
  </si>
  <si>
    <t>4.02.01.01.08.007</t>
  </si>
  <si>
    <t>4.02.01.01.09</t>
  </si>
  <si>
    <t>4.02.01.01.09.001</t>
  </si>
  <si>
    <t>4.02.01.01.10</t>
  </si>
  <si>
    <t>4.02.01.01.10.001</t>
  </si>
  <si>
    <t>4.02.01.01.10.002</t>
  </si>
  <si>
    <t>4.03</t>
  </si>
  <si>
    <t>DESPESAS - ASSISTENCIA SOCIAL</t>
  </si>
  <si>
    <t>4.03.01</t>
  </si>
  <si>
    <t>DESPESAS - OBRAS SOCIAIS</t>
  </si>
  <si>
    <t>4.03.01.01</t>
  </si>
  <si>
    <t>CUSTOS - OBRAS SOCIAIS</t>
  </si>
  <si>
    <t>4.03.01.01.01</t>
  </si>
  <si>
    <t>4.03.01.01.01.001</t>
  </si>
  <si>
    <t>4.03.01.01.01.002</t>
  </si>
  <si>
    <t>4.03.01.01.01.003</t>
  </si>
  <si>
    <t>4.03.01.01.01.004</t>
  </si>
  <si>
    <t>4.03.01.01.01.005</t>
  </si>
  <si>
    <t>4.03.01.01.01.006</t>
  </si>
  <si>
    <t>4.03.01.01.01.007</t>
  </si>
  <si>
    <t>4.03.01.01.01.008</t>
  </si>
  <si>
    <t>4.03.01.01.01.009</t>
  </si>
  <si>
    <t>4.03.01.01.01.010</t>
  </si>
  <si>
    <t>4.03.01.01.01.011</t>
  </si>
  <si>
    <t>4.03.01.01.01.012</t>
  </si>
  <si>
    <t>4.03.01.01.01.013</t>
  </si>
  <si>
    <t>4.03.01.01.01.014</t>
  </si>
  <si>
    <t>4.03.01.01.01.015</t>
  </si>
  <si>
    <t>4.03.01.01.01.016</t>
  </si>
  <si>
    <t>TICKET REFEICAO</t>
  </si>
  <si>
    <t>4.03.01.01.01.017</t>
  </si>
  <si>
    <t>4.03.01.01.01.018</t>
  </si>
  <si>
    <t>4.03.01.01.01.019</t>
  </si>
  <si>
    <t>4.03.01.01.01.020</t>
  </si>
  <si>
    <t>4.03.01.01.01.021</t>
  </si>
  <si>
    <t>ASSISTENCIA MEDICA DENTAL</t>
  </si>
  <si>
    <t>4.03.01.01.01.022</t>
  </si>
  <si>
    <t>4.03.01.01.02</t>
  </si>
  <si>
    <t>4.03.01.01.02.001</t>
  </si>
  <si>
    <t>4.03.01.01.02.002</t>
  </si>
  <si>
    <t>4.03.01.01.02.003</t>
  </si>
  <si>
    <t>4.03.01.01.02.004</t>
  </si>
  <si>
    <t>4.03.01.01.02.007</t>
  </si>
  <si>
    <t>TRABALHO VOLUNTÁRIO.</t>
  </si>
  <si>
    <t>4.03.01.01.02.008</t>
  </si>
  <si>
    <t>4.03.01.01.02.009</t>
  </si>
  <si>
    <t>4.03.01.01.02.010</t>
  </si>
  <si>
    <t>4.03.01.01.02.011</t>
  </si>
  <si>
    <t>4.03.01.01.02.012</t>
  </si>
  <si>
    <t>4.03.01.01.02.013</t>
  </si>
  <si>
    <t>4.03.01.01.02.014</t>
  </si>
  <si>
    <t>4.03.01.01.02.015</t>
  </si>
  <si>
    <t>4.03.01.01.02.016</t>
  </si>
  <si>
    <t>4.03.01.01.02.017</t>
  </si>
  <si>
    <t>4.03.01.01.02.018</t>
  </si>
  <si>
    <t>4.03.01.01.02.019</t>
  </si>
  <si>
    <t>4.03.01.01.02.020</t>
  </si>
  <si>
    <t>4.03.01.01.03</t>
  </si>
  <si>
    <t>4.03.01.01.03.001</t>
  </si>
  <si>
    <t>4.03.01.01.03.002</t>
  </si>
  <si>
    <t>COTA PATR. SERV. TERCEIROS</t>
  </si>
  <si>
    <t>4.03.01.01.03.003</t>
  </si>
  <si>
    <t>4.03.01.01.03.004</t>
  </si>
  <si>
    <t>4.03.01.01.03.005</t>
  </si>
  <si>
    <t>( - ) COTA SERV.TERC. ISENCAO</t>
  </si>
  <si>
    <t>4.03.01.01.03.006</t>
  </si>
  <si>
    <t>4.03.01.01.04</t>
  </si>
  <si>
    <t>4.03.01.01.04.001</t>
  </si>
  <si>
    <t>4.03.01.01.04.002</t>
  </si>
  <si>
    <t>4.03.01.01.04.003</t>
  </si>
  <si>
    <t>4.03.01.01.04.004</t>
  </si>
  <si>
    <t>4.03.01.01.04.005</t>
  </si>
  <si>
    <t>4.03.01.01.04.006</t>
  </si>
  <si>
    <t>4.03.01.01.04.007</t>
  </si>
  <si>
    <t>4.03.01.01.04.008</t>
  </si>
  <si>
    <t>4.03.01.01.04.009</t>
  </si>
  <si>
    <t>MATERIAIS DIDATICOS</t>
  </si>
  <si>
    <t>4.03.01.01.04.010</t>
  </si>
  <si>
    <t>4.03.01.01.05</t>
  </si>
  <si>
    <t>4.03.01.01.05.001</t>
  </si>
  <si>
    <t>4.03.01.01.05.002</t>
  </si>
  <si>
    <t>4.03.01.01.05.003</t>
  </si>
  <si>
    <t>4.03.01.01.05.004</t>
  </si>
  <si>
    <t>4.03.01.01.05.005</t>
  </si>
  <si>
    <t>4.03.01.01.05.006</t>
  </si>
  <si>
    <t>4.03.01.01.05.007</t>
  </si>
  <si>
    <t>4.03.01.01.05.008</t>
  </si>
  <si>
    <t>4.03.01.01.05.009</t>
  </si>
  <si>
    <t>4.03.01.01.05.010</t>
  </si>
  <si>
    <t>4.03.01.01.05.011</t>
  </si>
  <si>
    <t>4.03.01.01.05.012</t>
  </si>
  <si>
    <t>4.03.01.01.05.013</t>
  </si>
  <si>
    <t>4.03.01.01.05.014</t>
  </si>
  <si>
    <t>4.03.01.01.05.015</t>
  </si>
  <si>
    <t>4.03.01.01.05.016</t>
  </si>
  <si>
    <t>4.03.01.01.05.017</t>
  </si>
  <si>
    <t>4.03.01.01.05.018</t>
  </si>
  <si>
    <t>4.03.01.01.05.019</t>
  </si>
  <si>
    <t>DESPESAS COM VELORIO</t>
  </si>
  <si>
    <t>4.03.01.01.05.020</t>
  </si>
  <si>
    <t>4.03.01.01.05.021</t>
  </si>
  <si>
    <t>SEGUROS DE VIDA</t>
  </si>
  <si>
    <t>4.03.01.01.05.022</t>
  </si>
  <si>
    <t>SEGURO AUTOMOVEL</t>
  </si>
  <si>
    <t>4.03.01.01.05.023</t>
  </si>
  <si>
    <t>4.03.01.01.05.024</t>
  </si>
  <si>
    <t>4.03.01.01.05.025</t>
  </si>
  <si>
    <t>4.03.01.01.05.026</t>
  </si>
  <si>
    <t>4.03.01.01.05.027</t>
  </si>
  <si>
    <t>4.03.01.01.05.028</t>
  </si>
  <si>
    <t>4.03.01.01.06</t>
  </si>
  <si>
    <t>PROVISAO PARA   CUSTO EXERCICIO</t>
  </si>
  <si>
    <t>4.03.01.01.06.001</t>
  </si>
  <si>
    <t>4.03.01.01.06.002</t>
  </si>
  <si>
    <t>4.03.01.01.06.003</t>
  </si>
  <si>
    <t>4.03.01.01.06.004</t>
  </si>
  <si>
    <t>PROV. CONTINGENCIA TRABALHISTA.</t>
  </si>
  <si>
    <t>4.03.01.01.06.005</t>
  </si>
  <si>
    <t>PROV. CONTINGENCIA CIVEL.</t>
  </si>
  <si>
    <t>4.03.01.01.06.006</t>
  </si>
  <si>
    <t>4.03.01.01.06.007</t>
  </si>
  <si>
    <t>PROV. CREDITO LIQUIDACAO DUVIDOSA -  JURIDICO</t>
  </si>
  <si>
    <t>4.03.01.01.06.008</t>
  </si>
  <si>
    <t>PROV. CONTINGENTES TRIBUTARIOS</t>
  </si>
  <si>
    <t>4.03.01.01.06.009</t>
  </si>
  <si>
    <t>4.03.01.01.06.010</t>
  </si>
  <si>
    <t>4.03.01.01.07</t>
  </si>
  <si>
    <t>4.03.01.01.07.001</t>
  </si>
  <si>
    <t>4.03.01.01.07.002</t>
  </si>
  <si>
    <t>CONTRIBUICAO SINDICAL PATRONAL</t>
  </si>
  <si>
    <t>4.03.01.01.07.003</t>
  </si>
  <si>
    <t>CONTRIBUICAO ASSOCIACAO CLASSE</t>
  </si>
  <si>
    <t>4.03.01.01.07.004</t>
  </si>
  <si>
    <t>TAXAS SERVICOS PUBLICOS</t>
  </si>
  <si>
    <t>4.03.01.01.07.005</t>
  </si>
  <si>
    <t>4.03.01.01.07.006</t>
  </si>
  <si>
    <t>4.03.01.01.07.007</t>
  </si>
  <si>
    <t>4.03.01.01.07.008</t>
  </si>
  <si>
    <t>4.03.01.01.07.009</t>
  </si>
  <si>
    <t>I.P.V.A.</t>
  </si>
  <si>
    <t>4.03.01.01.08</t>
  </si>
  <si>
    <t>4.03.01.01.08.001</t>
  </si>
  <si>
    <t>4.03.01.01.08.002</t>
  </si>
  <si>
    <t>4.03.01.01.09</t>
  </si>
  <si>
    <t>4.03.01.01.09.001</t>
  </si>
  <si>
    <t>4.03.01.01.09.002</t>
  </si>
  <si>
    <t>4.03.01.01.09.003</t>
  </si>
  <si>
    <t>4.03.01.01.09.004</t>
  </si>
  <si>
    <t>4.03.01.01.09.005</t>
  </si>
  <si>
    <t>4.03.01.01.09.006</t>
  </si>
  <si>
    <t>4.03.01.01.09.007</t>
  </si>
  <si>
    <t>4.03.01.01.10</t>
  </si>
  <si>
    <t>4.03.01.01.10.001</t>
  </si>
  <si>
    <t>4.1.03.01.0003</t>
  </si>
  <si>
    <t>HORISTAS</t>
  </si>
  <si>
    <t>RESULTADO EXERCICIO</t>
  </si>
  <si>
    <t>5.01</t>
  </si>
  <si>
    <t>RESULTADO EXERCICIO - SAUDE</t>
  </si>
  <si>
    <t>5.01.01</t>
  </si>
  <si>
    <t>RESULTADO EXERCICIO - HOSPITAIS</t>
  </si>
  <si>
    <t>5.01.01.01</t>
  </si>
  <si>
    <t>5.01.01.01.01</t>
  </si>
  <si>
    <t>5.01.01.01.01.001</t>
  </si>
  <si>
    <t>DEFICIT</t>
  </si>
  <si>
    <t>5.01.01.01.01.002</t>
  </si>
  <si>
    <t>SUPERAVIT</t>
  </si>
  <si>
    <t>5.01.01.01.01.003</t>
  </si>
  <si>
    <t>RESULTADO DO EXERCICIO.</t>
  </si>
  <si>
    <t>5.02</t>
  </si>
  <si>
    <t>RESULTADO EXERCICIO - EDUCACAO</t>
  </si>
  <si>
    <t>5.02.01</t>
  </si>
  <si>
    <t>RESULTADO EXERCICIO - ENSINO</t>
  </si>
  <si>
    <t>5.02.01.01</t>
  </si>
  <si>
    <t>5.02.01.01.01</t>
  </si>
  <si>
    <t>5.02.01.01.01.001</t>
  </si>
  <si>
    <t>5.02.01.01.01.002</t>
  </si>
  <si>
    <t>5.02.01.01.01.003</t>
  </si>
  <si>
    <t>5.03</t>
  </si>
  <si>
    <t>RESULTADO EXERCICIO - ASSISTENCIA SOCIAL</t>
  </si>
  <si>
    <t>5.03.01</t>
  </si>
  <si>
    <t>RESULTADO EXERCICIO - OBRAS SOCIAIS</t>
  </si>
  <si>
    <t>5.03.01.01</t>
  </si>
  <si>
    <t>5.03.01.01.01</t>
  </si>
  <si>
    <t>5.03.01.01.01.001</t>
  </si>
  <si>
    <t>5.03.01.01.01.002</t>
  </si>
  <si>
    <t>5.03.01.01.01.003</t>
  </si>
  <si>
    <t>6.01</t>
  </si>
  <si>
    <t>6.01.01</t>
  </si>
  <si>
    <t>6.01.01.01</t>
  </si>
  <si>
    <t>6.01.01.01.01</t>
  </si>
  <si>
    <t>RESULTADO DO EXERCICIO</t>
  </si>
  <si>
    <t>6.01.01.01.01.001</t>
  </si>
  <si>
    <t>RESULTADO DO EXERCICIO - SAUDE</t>
  </si>
  <si>
    <t>6.01.01.01.01.002</t>
  </si>
  <si>
    <t>RESULTADO DO EXERCICIO - EDUCACAO</t>
  </si>
  <si>
    <t>6.01.01.01.01.003</t>
  </si>
  <si>
    <t>RESULTADO DO EXERCICIO - ASSISTENCIA SOCIAL</t>
  </si>
  <si>
    <t>Da Despesas</t>
  </si>
  <si>
    <t>Orçamento</t>
  </si>
  <si>
    <t>Saldo Orçamento Acumulado</t>
  </si>
  <si>
    <t>HOSPITAL ESTADUAL CENTRAL B. T. PEREIRA</t>
  </si>
  <si>
    <t>Página :   000001</t>
  </si>
  <si>
    <t>MV 2000 - Sistema de Contabilidade</t>
  </si>
  <si>
    <t>Emitido por :   TIAGORIGO</t>
  </si>
  <si>
    <t>Relatório Balancete Analitico Mensal</t>
  </si>
  <si>
    <t>Saldo Anterior</t>
  </si>
  <si>
    <t>Valor Débito</t>
  </si>
  <si>
    <t>Valor Crédito</t>
  </si>
  <si>
    <t>Movimento</t>
  </si>
  <si>
    <t>Salo Atual</t>
  </si>
  <si>
    <t>D/C</t>
  </si>
  <si>
    <t>Valor</t>
  </si>
  <si>
    <t>C</t>
  </si>
  <si>
    <t>4</t>
  </si>
  <si>
    <t>3</t>
  </si>
  <si>
    <t>AUXILIO ESTADA</t>
  </si>
  <si>
    <t>IMPOSTOS, TAXAS E CONTRIBUIÇÕES</t>
  </si>
  <si>
    <t>AQUISIÇÃO DE SOFTWARE</t>
  </si>
  <si>
    <t>GRUPO</t>
  </si>
  <si>
    <t>CLASSIFICAÇÃO</t>
  </si>
  <si>
    <t>DESCRIÇÃO DA DESPESA</t>
  </si>
  <si>
    <t>VALOR</t>
  </si>
  <si>
    <t>Total da Proposta</t>
  </si>
  <si>
    <t>Diretoria:</t>
  </si>
  <si>
    <t>Chefe da Assessoria Juídica</t>
  </si>
  <si>
    <t>Controlador(a)</t>
  </si>
  <si>
    <t>Chefe de Gabinete</t>
  </si>
  <si>
    <t>Gerente Assistencial</t>
  </si>
  <si>
    <t>Gerente Contábil-Financeiro</t>
  </si>
  <si>
    <t>Gerente de Compras, Contratos e Convênios</t>
  </si>
  <si>
    <t>Gerente de Ensino, Pesquisa e Inovação</t>
  </si>
  <si>
    <t>Gerente de Gente e Gestão</t>
  </si>
  <si>
    <t>Gerente de Implantação e Desenvolvimento de Negócios</t>
  </si>
  <si>
    <t>Gerente de Infraestrutura e Manutenção</t>
  </si>
  <si>
    <t>Gerente de Logística e Transporte</t>
  </si>
  <si>
    <t>Gerente de Prestação de Contas</t>
  </si>
  <si>
    <t>Gerente de Tecnologia da Informação e Comunicação</t>
  </si>
  <si>
    <t>Gestor de Comunicação</t>
  </si>
  <si>
    <t>Gestor de Ouvidoria</t>
  </si>
  <si>
    <t>Gestor de Qualidade</t>
  </si>
  <si>
    <t>Diretor-Geral</t>
  </si>
  <si>
    <t>Diretor Assistencial, Ensino, Pesquisa e Inovação</t>
  </si>
  <si>
    <t>Diretor de Operações, Logística, TIC, Infraestrutura e Manutenção</t>
  </si>
  <si>
    <t>Diretor de Gente, Gestão, Finanças e Compras</t>
  </si>
  <si>
    <t>INDENIZAÇÕES POR PERDAS EM PROCESSOS JUR</t>
  </si>
  <si>
    <t>PERDAS EM CONTAS A RECEBER - CONVÊNIOS</t>
  </si>
  <si>
    <t>ALUGUÉIS DE BENS MÓVEIS,VEÍCULOS E SISTE</t>
  </si>
  <si>
    <t>MATERIAL DE PROCESSAMENTO DE DADOS</t>
  </si>
  <si>
    <t>OPME - ORTESES PROTESES E MATERIAIS ESPE</t>
  </si>
  <si>
    <t>SERV. DIVERSOS PESSOA JURIDICAS</t>
  </si>
  <si>
    <t>CONSULT. DE SISTEMA DE INFORMÁTICA</t>
  </si>
  <si>
    <t>CONSULT. DE RECURSOS HUMANOS E SAÚDE OCU</t>
  </si>
  <si>
    <t>HONORÁRIO ADVOCATÍCIOS</t>
  </si>
  <si>
    <t>CONSULT. DE INFRAESTRUTURA E CONTROLE PA</t>
  </si>
  <si>
    <t>CONSULT. DE COMUNICAÇÃO E ASSESSORIA DE</t>
  </si>
  <si>
    <t>HONORÁRIO AUDITORIA</t>
  </si>
  <si>
    <t>MANUTENÇÃO DE EQUIPAMENTO E SISTEMA</t>
  </si>
  <si>
    <t>CONSULT. EM GESTÃO DE PROJETOS</t>
  </si>
  <si>
    <t>SERVIÇOS TÉCNICOS DE SAÚDE PESSOA JURÍDI</t>
  </si>
  <si>
    <t>SERVIÇOS TÉCNICOS DE SAÚDE - PESSOA FÍSI</t>
  </si>
  <si>
    <t>SERVIÇOS DE VIGILÂNCIA PATRIMONIAL</t>
  </si>
  <si>
    <t>SINDICATOS</t>
  </si>
  <si>
    <t>PIS/COFINS S/OUTRAS RECEITAS</t>
  </si>
  <si>
    <t>IMPOSTO OPERACOES FINANCEIRAS - IOF</t>
  </si>
  <si>
    <t>Juros de Arrendamentos</t>
  </si>
  <si>
    <t>DESPESAS COM CARTORIO</t>
  </si>
  <si>
    <t>ADIANTAMENTO PARA AQUISICAO DE ATIVOS IM</t>
  </si>
  <si>
    <t>FONTE RECURSO</t>
  </si>
  <si>
    <t>OBSERVAÇÃO</t>
  </si>
  <si>
    <t>PROPOSTA PARA O PLANO DE APLICAÇÃO 2024</t>
  </si>
  <si>
    <t>Setor:</t>
  </si>
  <si>
    <t>Fundação iNova Capixaba</t>
  </si>
  <si>
    <t>VERSÃO: 00                               ELABORAÇÃO: 04/10/2023</t>
  </si>
  <si>
    <t>CÓDIGO: F.105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</si>
</sst>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,000,000,000"/>
  </numFmts>
  <fonts count="2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EFEFEF"/>
      <name val="Tahoma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indexed="81"/>
      <name val="Segoe UI"/>
      <family val="2"/>
    </font>
    <font>
      <sz val="7"/>
      <color indexed="8"/>
      <name val="Tahoma"/>
      <family val="2"/>
    </font>
    <font>
      <sz val="9"/>
      <color indexed="81"/>
      <name val="Segoe UI"/>
      <charset val="1"/>
    </font>
    <font>
      <b/>
      <u/>
      <sz val="9"/>
      <color indexed="81"/>
      <name val="Segoe UI"/>
      <family val="2"/>
    </font>
    <font>
      <b/>
      <sz val="9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00003A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1" fontId="1" fillId="0" borderId="0" xfId="0" applyNumberFormat="1" applyFont="1"/>
    <xf numFmtId="49" fontId="3" fillId="0" borderId="0" xfId="0" applyNumberFormat="1" applyFont="1"/>
    <xf numFmtId="4" fontId="3" fillId="0" borderId="0" xfId="0" applyNumberFormat="1" applyFont="1"/>
    <xf numFmtId="0" fontId="0" fillId="0" borderId="0" xfId="0" pivotButton="1"/>
    <xf numFmtId="4" fontId="0" fillId="0" borderId="0" xfId="0" pivotButton="1" applyNumberFormat="1"/>
    <xf numFmtId="14" fontId="0" fillId="0" borderId="0" xfId="0" applyNumberFormat="1"/>
    <xf numFmtId="17" fontId="0" fillId="0" borderId="0" xfId="0" applyNumberFormat="1"/>
    <xf numFmtId="0" fontId="5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0" fontId="0" fillId="0" borderId="0" xfId="1" applyNumberFormat="1" applyFont="1"/>
    <xf numFmtId="4" fontId="6" fillId="2" borderId="0" xfId="0" applyNumberFormat="1" applyFont="1" applyFill="1"/>
    <xf numFmtId="4" fontId="0" fillId="3" borderId="0" xfId="0" applyNumberFormat="1" applyFill="1"/>
    <xf numFmtId="10" fontId="0" fillId="0" borderId="0" xfId="1" applyNumberFormat="1" applyFont="1" applyFill="1"/>
    <xf numFmtId="0" fontId="6" fillId="0" borderId="0" xfId="0" applyFont="1"/>
    <xf numFmtId="0" fontId="5" fillId="0" borderId="5" xfId="0" applyFont="1" applyBorder="1"/>
    <xf numFmtId="10" fontId="5" fillId="0" borderId="5" xfId="1" applyNumberFormat="1" applyFont="1" applyBorder="1"/>
    <xf numFmtId="4" fontId="7" fillId="2" borderId="5" xfId="0" applyNumberFormat="1" applyFont="1" applyFill="1" applyBorder="1"/>
    <xf numFmtId="4" fontId="5" fillId="3" borderId="5" xfId="0" applyNumberFormat="1" applyFont="1" applyFill="1" applyBorder="1"/>
    <xf numFmtId="0" fontId="7" fillId="0" borderId="0" xfId="0" applyFont="1"/>
    <xf numFmtId="4" fontId="5" fillId="4" borderId="5" xfId="0" applyNumberFormat="1" applyFont="1" applyFill="1" applyBorder="1"/>
    <xf numFmtId="4" fontId="0" fillId="4" borderId="0" xfId="0" applyNumberFormat="1" applyFill="1"/>
    <xf numFmtId="0" fontId="7" fillId="0" borderId="10" xfId="0" applyFont="1" applyBorder="1"/>
    <xf numFmtId="4" fontId="7" fillId="2" borderId="6" xfId="0" applyNumberFormat="1" applyFont="1" applyFill="1" applyBorder="1"/>
    <xf numFmtId="4" fontId="5" fillId="4" borderId="7" xfId="0" applyNumberFormat="1" applyFont="1" applyFill="1" applyBorder="1"/>
    <xf numFmtId="4" fontId="6" fillId="2" borderId="10" xfId="0" applyNumberFormat="1" applyFont="1" applyFill="1" applyBorder="1"/>
    <xf numFmtId="4" fontId="0" fillId="4" borderId="11" xfId="0" applyNumberFormat="1" applyFill="1" applyBorder="1"/>
    <xf numFmtId="0" fontId="6" fillId="0" borderId="10" xfId="0" applyFont="1" applyBorder="1"/>
    <xf numFmtId="0" fontId="0" fillId="0" borderId="11" xfId="0" applyBorder="1"/>
    <xf numFmtId="0" fontId="5" fillId="0" borderId="11" xfId="0" applyFont="1" applyBorder="1"/>
    <xf numFmtId="0" fontId="10" fillId="0" borderId="0" xfId="0" applyFont="1" applyAlignment="1">
      <alignment vertical="center"/>
    </xf>
    <xf numFmtId="10" fontId="10" fillId="0" borderId="0" xfId="1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8" fillId="0" borderId="0" xfId="1" applyNumberFormat="1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9" fontId="0" fillId="0" borderId="0" xfId="1" applyFont="1"/>
    <xf numFmtId="49" fontId="14" fillId="0" borderId="0" xfId="0" applyNumberFormat="1" applyFont="1"/>
    <xf numFmtId="4" fontId="14" fillId="0" borderId="0" xfId="0" applyNumberFormat="1" applyFont="1"/>
    <xf numFmtId="1" fontId="14" fillId="0" borderId="1" xfId="0" applyNumberFormat="1" applyFont="1" applyBorder="1"/>
    <xf numFmtId="49" fontId="14" fillId="0" borderId="1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0" fillId="0" borderId="1" xfId="0" applyBorder="1"/>
    <xf numFmtId="1" fontId="14" fillId="0" borderId="0" xfId="0" applyNumberFormat="1" applyFont="1"/>
    <xf numFmtId="0" fontId="14" fillId="0" borderId="0" xfId="0" applyFont="1"/>
    <xf numFmtId="164" fontId="14" fillId="0" borderId="0" xfId="0" applyNumberFormat="1" applyFont="1"/>
    <xf numFmtId="49" fontId="15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/>
    <xf numFmtId="9" fontId="16" fillId="0" borderId="0" xfId="0" applyNumberFormat="1" applyFont="1" applyAlignment="1">
      <alignment horizontal="center"/>
    </xf>
    <xf numFmtId="10" fontId="16" fillId="0" borderId="0" xfId="1" applyNumberFormat="1" applyFont="1" applyFill="1" applyAlignment="1">
      <alignment horizontal="center"/>
    </xf>
    <xf numFmtId="10" fontId="16" fillId="0" borderId="0" xfId="0" applyNumberFormat="1" applyFont="1" applyAlignment="1">
      <alignment horizontal="center" vertical="center"/>
    </xf>
    <xf numFmtId="0" fontId="17" fillId="0" borderId="0" xfId="0" applyFont="1"/>
    <xf numFmtId="10" fontId="0" fillId="0" borderId="0" xfId="0" applyNumberFormat="1"/>
    <xf numFmtId="4" fontId="0" fillId="6" borderId="0" xfId="0" applyNumberFormat="1" applyFill="1"/>
    <xf numFmtId="0" fontId="0" fillId="6" borderId="0" xfId="0" applyFill="1"/>
    <xf numFmtId="0" fontId="5" fillId="5" borderId="0" xfId="0" applyFont="1" applyFill="1"/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0" fillId="7" borderId="0" xfId="0" applyFill="1"/>
    <xf numFmtId="0" fontId="11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8" borderId="0" xfId="0" applyFill="1"/>
    <xf numFmtId="49" fontId="23" fillId="0" borderId="0" xfId="0" applyNumberFormat="1" applyFont="1" applyAlignment="1">
      <alignment vertical="top"/>
    </xf>
    <xf numFmtId="0" fontId="26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/>
    <xf numFmtId="0" fontId="13" fillId="9" borderId="0" xfId="0" applyFont="1" applyFill="1"/>
    <xf numFmtId="0" fontId="28" fillId="0" borderId="0" xfId="0" applyFont="1" applyFill="1" applyBorder="1" applyAlignment="1">
      <alignment horizontal="center" vertical="center"/>
    </xf>
    <xf numFmtId="0" fontId="21" fillId="9" borderId="0" xfId="0" applyFont="1" applyFill="1" applyAlignment="1">
      <alignment horizontal="center" wrapText="1"/>
    </xf>
    <xf numFmtId="0" fontId="27" fillId="9" borderId="0" xfId="0" applyFont="1" applyFill="1" applyAlignment="1">
      <alignment horizontal="center"/>
    </xf>
    <xf numFmtId="0" fontId="20" fillId="1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</dxf>
    <dxf>
      <numFmt numFmtId="0" formatCode="General"/>
    </dxf>
    <dxf>
      <numFmt numFmtId="19" formatCode="dd/mm/yy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0" formatCode="General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4" formatCode="#,##0.00"/>
    </dxf>
    <dxf>
      <alignment horizontal="general" vertical="center" textRotation="0" wrapText="0" indent="0" justifyLastLine="0" shrinkToFit="0" readingOrder="0"/>
      <protection locked="0" hidden="0"/>
    </dxf>
    <dxf>
      <numFmt numFmtId="4" formatCode="#,##0.00"/>
      <alignment horizontal="general" vertical="center" textRotation="0" wrapText="0" indent="0" justifyLastLine="0" shrinkToFit="0" readingOrder="0"/>
      <protection locked="0" hidden="0"/>
    </dxf>
    <dxf>
      <numFmt numFmtId="4" formatCode="#,##0.00"/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FF"/>
      <color rgb="FF00003A"/>
      <color rgb="FFCC3399"/>
      <color rgb="FFFFCC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3248024</xdr:colOff>
      <xdr:row>5</xdr:row>
      <xdr:rowOff>133351</xdr:rowOff>
    </xdr:from>
    <xdr:to>
      <xdr:col>4</xdr:col>
      <xdr:colOff>1504949</xdr:colOff>
      <xdr:row>9</xdr:row>
      <xdr:rowOff>114301</xdr:rowOff>
    </xdr:to>
    <xdr:sp macro="" textlink="">
      <xdr:nvSpPr>
        <xdr:cNvPr id="3" name="Retângulo 2">
          <a:extLst>
            <a:ext uri="{FF2B5EF4-FFF2-40B4-BE49-F238E27FC236}">
              <a16:creationId xmlns="" xmlns:a16="http://schemas.microsoft.com/office/drawing/2014/main" id="{338A043F-97DA-6832-21D9-575B6B3EFBFE}"/>
            </a:ext>
          </a:extLst>
        </xdr:cNvPr>
        <xdr:cNvSpPr/>
      </xdr:nvSpPr>
      <xdr:spPr>
        <a:xfrm>
          <a:off x="9315449" y="1628776"/>
          <a:ext cx="3590925" cy="914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FF0000"/>
              </a:solidFill>
            </a:rPr>
            <a:t>NA OBSERVAÇÃO DEVER CONTER</a:t>
          </a:r>
          <a:r>
            <a:rPr lang="pt-BR" sz="1100" b="1" baseline="0">
              <a:solidFill>
                <a:srgbClr val="FF0000"/>
              </a:solidFill>
            </a:rPr>
            <a:t> A METODOLOGIA DO CALCULO OU ENCAMINHAR EM ARQUIVO SEPARADO</a:t>
          </a:r>
          <a:endParaRPr lang="pt-BR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1003299</xdr:colOff>
      <xdr:row>2</xdr:row>
      <xdr:rowOff>38100</xdr:rowOff>
    </xdr:from>
    <xdr:to>
      <xdr:col>6</xdr:col>
      <xdr:colOff>1693862</xdr:colOff>
      <xdr:row>3</xdr:row>
      <xdr:rowOff>231463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599" y="381000"/>
          <a:ext cx="690563" cy="777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1411014</xdr:colOff>
      <xdr:row>2</xdr:row>
      <xdr:rowOff>31750</xdr:rowOff>
    </xdr:from>
    <xdr:to>
      <xdr:col>6</xdr:col>
      <xdr:colOff>754063</xdr:colOff>
      <xdr:row>3</xdr:row>
      <xdr:rowOff>241300</xdr:rowOff>
    </xdr:to>
    <xdr:pic>
      <xdr:nvPicPr>
        <xdr:cNvPr id="5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9714" y="374650"/>
          <a:ext cx="841649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241300</xdr:colOff>
      <xdr:row>2</xdr:row>
      <xdr:rowOff>57150</xdr:rowOff>
    </xdr:from>
    <xdr:to>
      <xdr:col>1</xdr:col>
      <xdr:colOff>1581150</xdr:colOff>
      <xdr:row>3</xdr:row>
      <xdr:rowOff>277986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400050"/>
          <a:ext cx="1339850" cy="80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ago Sossai Rigo" refreshedDate="44299.414082523152" createdVersion="6" refreshedVersion="7" minRefreshableVersion="3" recordCount="233">
  <cacheSource type="worksheet">
    <worksheetSource name="Tabela1"/>
  </cacheSource>
  <cacheFields count="16">
    <cacheField name="ANO" numFmtId="0">
      <sharedItems containsSemiMixedTypes="0" containsString="0" containsNumber="1" containsInteger="1" minValue="2020" maxValue="2021" count="2">
        <n v="2020"/>
        <n v="2021"/>
      </sharedItems>
    </cacheField>
    <cacheField name="Meses" numFmtId="0">
      <sharedItems count="3">
        <s v="Dezembro"/>
        <s v="Janeiro"/>
        <s v="Fevereiro"/>
      </sharedItems>
    </cacheField>
    <cacheField name="Conta" numFmtId="0">
      <sharedItems containsMixedTypes="1" containsNumber="1" containsInteger="1" minValue="1" maxValue="4" count="90">
        <n v="1"/>
        <s v="1.01"/>
        <s v="1.01.01"/>
        <s v="1.01.01.01"/>
        <s v="1.01.01.01.02"/>
        <s v="1.01.01.01.02.012"/>
        <s v="1.01.01.01.03"/>
        <s v="1.01.01.01.03.001"/>
        <s v="1.01.01.02"/>
        <s v="1.01.01.02.06"/>
        <s v="1.01.01.02.06.002"/>
        <s v="1.01.01.02.07"/>
        <s v="1.01.01.02.07.006"/>
        <s v="1.01.01.02.11"/>
        <s v="1.01.01.02.11.003"/>
        <s v="1.01.01.02.11.007"/>
        <n v="2"/>
        <s v="2.01"/>
        <s v="2.01.01"/>
        <s v="2.01.01.02"/>
        <s v="2.01.01.02.01"/>
        <s v="2.01.01.02.01.001"/>
        <s v="2.01.01.02.01.003"/>
        <s v="2.01.01.02.02"/>
        <s v="2.01.01.02.02.002"/>
        <s v="2.01.01.02.02.003"/>
        <s v="2.01.01.02.02.004"/>
        <s v="2.01.01.02.03"/>
        <s v="2.01.01.02.03.007"/>
        <s v="2.01.01.02.05"/>
        <s v="2.01.01.02.05.001"/>
        <s v="2.01.01.02.05.002"/>
        <s v="2.01.01.02.05.003"/>
        <s v="2.01.01.02.05.004"/>
        <s v="2.02.01"/>
        <s v="2.02.01.02"/>
        <s v="2.02.01.02.01"/>
        <s v="2.02.01.02.01.002"/>
        <n v="3"/>
        <s v="3.01"/>
        <s v="3.01.01"/>
        <s v="3.01.01.05"/>
        <s v="3.01.01.05.03"/>
        <s v="3.01.01.05.03.002"/>
        <s v="3.01.01.05.05"/>
        <s v="3.01.01.05.05.007"/>
        <s v="3.01.01.06"/>
        <s v="3.01.01.06.01"/>
        <s v="3.01.01.06.01.002"/>
        <s v="4"/>
        <s v="4.01"/>
        <s v="4.01.01"/>
        <s v="4.01.01.01"/>
        <s v="4.01.01.01.01"/>
        <s v="4.01.01.01.01.001"/>
        <s v="4.01.01.01.01.002"/>
        <s v="4.01.01.01.01.003"/>
        <s v="4.01.01.01.01.005"/>
        <s v="4.01.01.01.01.006"/>
        <s v="4.01.01.01.01.007"/>
        <s v="4.01.01.01.01.009"/>
        <s v="4.01.01.01.01.011"/>
        <s v="4.01.01.01.01.015"/>
        <s v="4.01.01.01.01.016"/>
        <s v="4.01.01.01.01.017"/>
        <s v="4.01.01.01.01.018"/>
        <s v="4.01.01.01.02"/>
        <s v="4.01.01.01.02.020"/>
        <s v="4.01.01.01.05"/>
        <s v="4.01.01.01.05.008"/>
        <s v="4.01.01.01.05.052"/>
        <s v="4.01.01.01.05.053"/>
        <s v="4.01.01.01.07"/>
        <s v="4.01.01.01.07.007"/>
        <s v="1.01.01.02.06.005"/>
        <s v="3"/>
        <n v="4"/>
        <s v="4.01.01.01.06"/>
        <s v="4.01.01.01.06.001"/>
        <s v="4.01.01.01.06.002"/>
        <s v="4.01.01.01.06.003"/>
        <s v="4.01.01.01.06.009"/>
        <s v="4.01.01.01.08"/>
        <s v="4.01.01.01.08.001"/>
        <s v="1.01.01.01.02.027"/>
        <s v="2.03.01"/>
        <s v="2.03.01.01"/>
        <s v="2.03.01.01.01"/>
        <s v="2.03.01.01.01.003"/>
        <s v="4.01.01.01.02.024"/>
      </sharedItems>
    </cacheField>
    <cacheField name="Descrição Original" numFmtId="49">
      <sharedItems/>
    </cacheField>
    <cacheField name="Saldo Anterior" numFmtId="4">
      <sharedItems containsSemiMixedTypes="0" containsString="0" containsNumber="1" minValue="0" maxValue="74134757.780000001"/>
    </cacheField>
    <cacheField name="Valor Débito" numFmtId="4">
      <sharedItems containsSemiMixedTypes="0" containsString="0" containsNumber="1" minValue="0" maxValue="104530426.79000001"/>
    </cacheField>
    <cacheField name="Valor Crédito" numFmtId="4">
      <sharedItems containsSemiMixedTypes="0" containsString="0" containsNumber="1" minValue="0" maxValue="77240445.950000003"/>
    </cacheField>
    <cacheField name="Movimento" numFmtId="4">
      <sharedItems containsSemiMixedTypes="0" containsString="0" containsNumber="1" minValue="-74130648.950000003" maxValue="73650742.290000007"/>
    </cacheField>
    <cacheField name="Salo Atual" numFmtId="4">
      <sharedItems containsSemiMixedTypes="0" containsString="0" containsNumber="1" minValue="0" maxValue="74130648.950000003"/>
    </cacheField>
    <cacheField name="D/C" numFmtId="49">
      <sharedItems/>
    </cacheField>
    <cacheField name="Tam Conta" numFmtId="0">
      <sharedItems containsSemiMixedTypes="0" containsString="0" containsNumber="1" containsInteger="1" minValue="0" maxValue="24" count="12">
        <n v="1"/>
        <n v="4"/>
        <n v="7"/>
        <n v="10"/>
        <n v="13"/>
        <n v="17"/>
        <n v="0" u="1"/>
        <n v="14" u="1"/>
        <n v="16" u="1"/>
        <n v="24" u="1"/>
        <n v="11" u="1"/>
        <n v="12" u="1"/>
      </sharedItems>
    </cacheField>
    <cacheField name="Descrição" numFmtId="0">
      <sharedItems containsBlank="1" count="297">
        <s v=""/>
        <s v="BANCO DO ESTADO DO ESPIRITO SANTO"/>
        <s v="BANCO DO ESTADO DO ESPIRITO SANTO C.C. 3083935-1"/>
        <s v="ADIANTAMENTO DE 13 SALARIO"/>
        <s v="SUBVENÇÕES E ASSITÊNCIA GOVERNAMENTAIS A REALIZAR"/>
        <s v="IRRF A RECUPERAR"/>
        <s v="IRRF RETIDO S/ APLICACAO FINANCEIRA"/>
        <s v="ORDENADOS A PAGAR"/>
        <s v="RESCISOES A PAGAR"/>
        <s v="F.G.T.S. A RECOLHER"/>
        <s v="I.N.S.S. A RECOLHER"/>
        <s v="P.I.S. A RECOLHER"/>
        <s v="I.R.R.F. A RECOLHER SOBRE FOPAG"/>
        <s v="PROVISAO PARA   13 SALARIO"/>
        <s v="PROVISAO PARA   FERIAS"/>
        <s v="PROVISAO PARA   ENCARGOS SOCIAIS - 13º SALARIO"/>
        <s v="PROVISÃO PARA ENCARGOS SOCIAIS - FERIAS"/>
        <s v="SUBVENCAO E ASSISTENCIA GOVERNAMENTAIS A REALIZAR L.P"/>
        <s v="ESTADUAL"/>
        <s v="RECUPERACAO DE DESP. C/ PESSOAL"/>
        <s v="RENDIM. APLICACOES FINANCEIRAS"/>
        <s v="ORDENADOS"/>
        <s v="13 SALARIO"/>
        <s v="FERIAS"/>
        <s v="INDENIZACAO E AVISOS PREVIOS"/>
        <s v="CONTRIBUICOES AO FGTS"/>
        <s v="CONTRIBUICOES AO PIS"/>
        <s v="VALE TRANSPORTE"/>
        <s v="CONTRIBUICAO PATRONAL - INSS"/>
        <s v="GRATIFICACOES"/>
        <s v="SEGURO ACIDENTE DE TRABALHO"/>
        <s v="COTA TERCEIROS ( SESC, SENAC, INCRA )"/>
        <s v="VALE REFEICAO"/>
        <s v="ASSESSORIA EMPRESARIAL E SERVIÇOS ADMINISTRATIVOS"/>
        <s v="ANUNCIOS E PUBLICIDADES"/>
        <s v="REMUNERACAO DE SERVIDORES CEDIDOS"/>
        <s v="CONTRIBUICAO PREVIDENCIARIA S/ SERVIDORES CEDIDOS"/>
        <s v="MULTAS"/>
        <s v="OUTROS ADIANTAMENTOS A FUNCIONARIOS"/>
        <s v="ENCARGOS SOCIAIS - 13º SALARIO"/>
        <s v="ENCARGOS SOCIAIS - FERIAS"/>
        <s v="JUROS E CORRECAO MONETARIA"/>
        <s v="RESULTADO DO EXERCICIO SUPERAVIT/DEFICIT"/>
        <s v="HONORÁRIO CONTÁBIL"/>
        <s v="MATERIAIS E MEDICAMENTO" u="1"/>
        <s v="COFINS, PIS E CSSL A RECOL" u="1"/>
        <s v="RESERVA DE SUPERAVITS COM RESTRICOES" u="1"/>
        <m u="1"/>
        <s v="PESSOAL SERVICOS TERCEIR" u="1"/>
        <s v="PRODUTOS DE LIMPEZA/DESC" u="1"/>
        <s v="MATERIAIS, MEDICAMENTOS E OUTROS" u="1"/>
        <s v="PROVISÃO PARA ENCARGOS SOCIAIS - FE" u="1"/>
        <s v="OBRIGACOES TRABALHISTAS" u="1"/>
        <s v="RECEITAS COM DOACOES" u="1"/>
        <s v="BANCOS C/MOVIMENTO - SAU" u="1"/>
        <s v="CONTRIBUICAO PATRONAL - I" u="1"/>
        <s v="ATIVO NAO CIRCULANTE - SAUDE" u="1"/>
        <s v="MANUTENÇÃO DE EQUIPAMENTOS E SIST" u="1"/>
        <s v="GERENCIAMENTO: FUNDAÇÃO ESTADUAL DE INOVAÇÃO EM SAUDE - INOVA CAPIXABA" u="1"/>
        <s v="DROGAS E MEDICAMENTOS" u="1"/>
        <s v="PROVISAO PARA 13 SALARIO" u="1"/>
        <s v="( - ) DEPR.ACUM.BENFEITORIA" u="1"/>
        <s v="FORNEC. SERVICOS MEDICOS - PJ -" u="1"/>
        <s v="INSTALACOES - GP" u="1"/>
        <s v="ATIVO CIRCULANTE - SAUDE" u="1"/>
        <s v="PATRIMONIO LIQUIDO - SAUDE" u="1"/>
        <s v="( - ) AMORTIZACOES ACUMULADAS - GEST" u="1"/>
        <s v="UNIFORMES" u="1"/>
        <s v="COTA TERCEIROS ( SESC, SENAC, INCRA" u="1"/>
        <s v="CORREIOS E TELEGRAFOS" u="1"/>
        <s v="OUTROS CREDITOS A RECEB" u="1"/>
        <s v="RECEITAS COM DEPRECIAÇÃ" u="1"/>
        <s v="SERVIÇOS TÉCNICOS DE SAÚ" u="1"/>
        <s v="PROV. PARA   CUSTOS DO EX" u="1"/>
        <s v="OPME - ORTESES, PROTESES E MATERIAI" u="1"/>
        <s v="INDENIZACAO E AVISOS PREV" u="1"/>
        <s v="( - )EMPRESTIMOS DE INSUMOS - RECEBIDOS" u="1"/>
        <s v="ROUPARIA" u="1"/>
        <s v="ALUGUÉIS DE BENS MÓVEIS, VEÍCULOS E SISTEMAS" u="1"/>
        <s v="GERAIS" u="1"/>
        <s v="FORNEC.SERVICOS MEDICOS" u="1"/>
        <s v="CENTRO DE MATERIAL ESTER" u="1"/>
        <s v="RESERVA DE SUPERAVITS CO" u="1"/>
        <s v="FORNEC. SERVICOS  DIVERSO" u="1"/>
        <s v="SERVIÇOS TÉCNICOS DE SAÚDE - PJ" u="1"/>
        <s v="(-)DEPRECIACOES ACUMULADAS DE ARR" u="1"/>
        <s v="PATRIMONIO" u="1"/>
        <s v="CREDITOS DE FUNCIONARIOS" u="1"/>
        <s v="OUTRAS RECEITAS OPERACIONAIS" u="1"/>
        <s v="ALUGUÉIS DE EQUIPAMENTOS MÉDICOS" u="1"/>
        <s v="( - ) AMORTIZACAO ACUM.SOFTWARE - G" u="1"/>
        <s v="TELEFONE" u="1"/>
        <s v="AMORTIZACOES" u="1"/>
        <s v="HORAS EXTRAS" u="1"/>
        <s v="OBRIGACOES TRABALHISTA" u="1"/>
        <s v="ASSESSORIA EMPRESARIAL E" u="1"/>
        <s v="PESSOAL SERVICOS TERCEIROS" u="1"/>
        <s v="PROV. PARA    CUSTOS DO EXERCICIO" u="1"/>
        <s v="CENTRO DE MATERIAL ESTERILIZADO" u="1"/>
        <s v="LIMPEZA, CONSERVAÇÃO E REMOÇÃO DE" u="1"/>
        <s v="( - ) DEPR.ACUM.APARELHOS MEDICINA E" u="1"/>
        <s v="MANUTENÇÃO DE EQUIPAMENTOS E SISTEMAS" u="1"/>
        <s v="Descrição" u="1"/>
        <s v="ALUGUÉIS DE BENS MÓVEIS," u="1"/>
        <s v="ALUGUÉIS DE EQUIPAMENTOS" u="1"/>
        <s v="LIMPEZA, CONSERVAÇÃO E R" u="1"/>
        <s v="PASSIVO CIRCULANTE" u="1"/>
        <s v="EQUIPAMENTOS DE PROCESS" u="1"/>
        <s v="( - )EMPRESTIMOS DE INSUMO" u="1"/>
        <s v="MATERIAIS DE LIMPEZA / DESCARTAVEIS" u="1"/>
        <s v="PATRIMONIO - SAUDE" u="1"/>
        <s v="I.R.R.F. A RECOLHER" u="1"/>
        <s v="ENCARGOS SOCIAIS - 13º SAL" u="1"/>
        <s v="MATERIAIS DE LIMPEZA / DES" u="1"/>
        <s v="DISPONIVEL - SAUDE" u="1"/>
        <s v="RECEITAS OPERACIONAIS" u="1"/>
        <s v="OBRIGACOES SOCIAIS" u="1"/>
        <s v="MATERIAIS DE MANUTENCAO" u="1"/>
        <s v="OUTRAS RECEITAS OPERACI" u="1"/>
        <s v="OPME - ORTESES, PROTESES" u="1"/>
        <s v="CONTRIB. ASSOCIACAO DE CLASSE" u="1"/>
        <s v="I.S.S. A RECOLHER" u="1"/>
        <s v="DESPESAS FINANCEIRAS" u="1"/>
        <s v="IMOBILIZADO - GESTAO PUBLICA." u="1"/>
        <s v="RECEITAS - SAUDE" u="1"/>
        <s v="MATERIAIS, MEDICAMENTOS" u="1"/>
        <s v="(-) DEPR.ACUMULADAS - GESTAO PUBLIC" u="1"/>
        <s v="RECEITAS C/CONTRATO DE GESTAO - EST" u="1"/>
        <s v="RECEITAS C/CONTRATO DE GESTAO - ESTADUAL" u="1"/>
        <s v="OUTROS CREDITOS" u="1"/>
        <s v="DESPESAS - HOSPITAIS" u="1"/>
        <s v="MAT. DE USO DO PACIENTE" u="1"/>
        <s v="PROVISAO PARA 13 SALARI" u="1"/>
        <s v="RECEITAS C/CONTRATO DE G" u="1"/>
        <s v="APARELHOS MEDICINA E CIRU" u="1"/>
        <s v="BENS ADQUIRIDOS A IMOBILIZ" u="1"/>
        <s v="DIREITO DE USO DE SOFTWARE - GP" u="1"/>
        <s v="PROVISAO PARA    FERIAS" u="1"/>
        <s v="CONSULTORIA DE SISTEMA D" u="1"/>
        <s v="SEGURO ACIDENTE DE TRABA" u="1"/>
        <s v="( - ) AMORTIZACOES ACUMUL" u="1"/>
        <s v="PACIENTES DO SUS" u="1"/>
        <s v="EM MATERIAIS - PJ" u="1"/>
        <s v="PROVISÃO PARA ENCARGOS" u="1"/>
        <s v="ATIVOS FIXOS DE ARRENDAMENTOS - SA" u="1"/>
        <s v="PATRIMONIO LIQUIDO" u="1"/>
        <s v="OPME - ORTESES PROTESES" u="1"/>
        <s v="EQUIPAMENTOS DE PROCESSAMENTO DE" u="1"/>
        <s v="ATIVO NAO CIRCULANTE - SA" u="1"/>
        <s v="RECEITAS DIFERIDAS - SAUD" u="1"/>
        <s v="( - ) DEPR.ACUM.MOVEIS E MA" u="1"/>
        <s v="IMPRESSOS E MAT. EXPEDIENTE" u="1"/>
        <s v="( - ) DEPR.ACUM.EQUIPAMENTOS PROCESSAMENTO DE DADOS" u="1"/>
        <s v="EMPRESTIMOS DE INSUMOS - CONCEDIDOS" u="1"/>
        <s v="LIMPEZA, CONSERVAÇÃO E REMOÇÃO DE LIXO" u="1"/>
        <s v="DEPRECIACOES" u="1"/>
        <s v="CUSTOS E DESPESAS" u="1"/>
        <s v="IMPRESSOS E MATER. EXPED" u="1"/>
        <s v="(-) DEPR.ACUMULADAS - GES" u="1"/>
        <s v="FORNEC. MATERIAIS/MEDICAM" u="1"/>
        <s v="OUTROS CREDITOS A RECEBER" u="1"/>
        <s v="COFINS, PIS E CSSL A RECOLHER" u="1"/>
        <s v="OUTRAS OBRIGACOES" u="1"/>
        <s v="OBRIGACOES FISCAIS" u="1"/>
        <s v="BANCO DO ESTADO DO ESPIR" u="1"/>
        <s v="( - ) AMORTIZACAO ACUM.SOF" u="1"/>
        <s v="BANCOS C/MOVIMENTO - SAUDE" u="1"/>
        <s v="PASSIVO NAO CIRCULANTE - SAUDE" u="1"/>
        <s v="OPME - ORTESES, PROTESES E MATERIAIS ESPECIAIS" u="1"/>
        <s v="CUSTOS - SAUDE" u="1"/>
        <s v="PATRIMONIO SOCIAL" u="1"/>
        <s v="INTANGIVEL - SAUDE" u="1"/>
        <s v="FORNEC. SERVICOS   DIVERSOS PJ" u="1"/>
        <s v="( - ) DEPR.ACUM.EQUIPAMENTOS PROCESSAMENTO DE DADOS - GP" u="1"/>
        <s v="FORNEC.MATERIAIS/MEDICAM" u="1"/>
        <s v="AGUA" u="1"/>
        <s v="OBRIGACOES - SAUDE" u="1"/>
        <s v="PESSOAL SERV. PROPRIOS" u="1"/>
        <s v="BENS PUBLICOS EM NOSSO P" u="1"/>
        <s v="( - ) DEPR.ACUM.INSTALACOE" u="1"/>
        <s v="LAVANDERIA" u="1"/>
        <s v="GASES MEDICINAIS" u="1"/>
        <s v="PERDAS EM ESTOQUES" u="1"/>
        <s v="COTA TERCEIROS ( SESC, SE" u="1"/>
        <s v="CONSULTORIA DE SISTEMA DE INFORMÁT" u="1"/>
        <s v="( - ) DEPR.ACUM.INSTALACOES - GP" u="1"/>
        <s v="IMPRESSOS E MAT. EXPEDIEN" u="1"/>
        <s v="FORNEC. SERVICOS DIVERSOS PJ" u="1"/>
        <s v="( - ) DEPR.ACUM.MOVEIS E MAQUINAS - GP" u="1"/>
        <s v="BENFEITORIAS - GP" u="1"/>
        <s v="IMOBILIZADO - GESTAO PUBL" u="1"/>
        <s v="ATIVO NAO CIRCULANTE" u="1"/>
        <s v="DESCONTO FINANCEIRO OBTI" u="1"/>
        <s v="ESTOQUES - SAUDE" u="1"/>
        <s v="CREDITOS DE FUNCIONARIO" u="1"/>
        <s v="( - ) AMORTIZACAO ACUM.SOFTWARE - GP" u="1"/>
        <s v="PROVISAO PARA    ENCARGOS SOCIAIS - 1" u="1"/>
        <s v="OPME - ORTESES PROTESES E MATERIAIS ESPECIAIS" u="1"/>
        <e v="#N/A" u="1"/>
        <s v="FORNEC.SERVICOS MEDICOS - PJ" u="1"/>
        <s v="MATERIAIS  DE USO DO PACIENTES" u="1"/>
        <s v="IMOBILIZADO" u="1"/>
        <s v="ENERGIA ELETRICA" u="1"/>
        <s v="FORNEC. SERVICOS DIVERSO" u="1"/>
        <s v="INTANGIVEL - GESTAO PUBLI" u="1"/>
        <s v="( - ) DEPR.ACUM.EQUIPAMENT" u="1"/>
        <s v="BENS PUBLICOS EM NOSSO PODER LP" u="1"/>
        <s v="IMPOSTOS, TAXAS E CONTRIBUICOES" u="1"/>
        <s v="CONSULTORIA DE SISTEMA DE INFORMÁTICA" u="1"/>
        <s v="EQUIPAMENTOS DE PROCESSAMENTO DE DADOS - GP" u="1"/>
        <s v="Responsável" u="1"/>
        <s v="MOVEIS E MAQUINAS" u="1"/>
        <s v="I.R.R.F. A RECOLHER SOBRE F" u="1"/>
        <s v="SERV. MEDICOS PESSOAS JURIDICAS" u="1"/>
        <s v="EMPRESTIMOS DE INSUMOS - CONCEDIDO" u="1"/>
        <s v="ATIVO" u="1"/>
        <s v="ALUGUEIS A PAGAR" u="1"/>
        <s v="JUROS E CORRECAO MONETA" u="1"/>
        <s v="FORNEC.MATERIAIS/MEDICAMENTOS" u="1"/>
        <s v="PRODUTOS DE LIMPEZA/DESCARTAVEL" u="1"/>
        <s v="( - ) DEPR.ACUM.MOVEIS E MAQUINAS - G" u="1"/>
        <s v="RENDIM. APLICACOES FINANC" u="1"/>
        <s v="AMBULÂNCIA" u="1"/>
        <s v="INSS PJ RETIDO NA FONTE" u="1"/>
        <s v="( - ) DEPR.ACUM.INSTRUMENTOS MEDICIN" u="1"/>
        <s v="PASSIVO" u="1"/>
        <s v="GENEROS ALIMENTICIOS" u="1"/>
        <s v="PROVISAO PARA   ENCARGOS" u="1"/>
        <s v="IMPOSTOS, TAXAS E CONTRIB" u="1"/>
        <s v="PENSAO ALIMENTICIA A PAGA" u="1"/>
        <s v="IMPRESSOS E MATER. EXPEDIENTE" u="1"/>
        <s v="( - ) DEPR.ACUM.EQUIPAMENTOS PROCES" u="1"/>
        <s v="PROVISOES" u="1"/>
        <s v="RECEITAS DIVERSAS" u="1"/>
        <s v="EQUIPAMENTOS DE PROTECA" u="1"/>
        <s v="PERDAS DIVERSAS" u="1"/>
        <s v="DESPESAS - SAUDE" u="1"/>
        <s v="CONTAS A PAGAR" u="1"/>
        <s v="INSTRUMENTOS DE CIRURGIA - GP" u="1"/>
        <s v="MATERIAIS   DE USO DO PACIENTES" u="1"/>
        <s v="RECEITAS COM DEPRECIAÇÃO C/CONTRA" u="1"/>
        <s v="FORNEC. SERVICOS MEDICOS" u="1"/>
        <s v="MANUTENÇÃO DE EQUIPAMEN" u="1"/>
        <s v="PASSIVO CIRCULANTE - SAUD" u="1"/>
        <s v="COMISSOES E DESPESAS BANCARIAS" u="1"/>
        <s v="DIREITO DE USO DE ARRENDAMENTOS - S" u="1"/>
        <s v="PASSIVO NAO CIRCULANTE" u="1"/>
        <s v="CONTRIB. ASSOCIACAO DE CL" u="1"/>
        <s v="PASSIVO CIRCULANTE - SAUDE" u="1"/>
        <s v="VIAGENS, AJUDA DE CUSTOS E DIARIAS" u="1"/>
        <s v="( - ) DEPR.ACUM.APARELHOS" u="1"/>
        <s v="(-) DEPR.ACUM.MOVEIS E MAQUINAS" u="1"/>
        <s v="ASSESSORIA EMPRESARIAL E SERVIÇOS" u="1"/>
        <s v="( - )EMPRESTIMOS DE INSUMOS - RECEBID" u="1"/>
        <s v="13 SALARIO A PAGAR" u="1"/>
        <s v="RECEITAS DIFERIDAS" u="1"/>
        <s v="RECEITAS FINANCEIRAS" u="1"/>
        <s v="MATERIAIS E MEDICAMENTOS" u="1"/>
        <s v="SERV. MEDICOS PESSOAS JU" u="1"/>
        <s v="DESCONTO FINANCEIRO OBTIDO" u="1"/>
        <s v="PENSAO ALIMENTICIA A PAGAR" u="1"/>
        <s v="RECEITAS COM CONTRATOS DE GESTAO" u="1"/>
        <s v="EQUIPAMENTOS DE PROCESSAMENTO DE DADOS" u="1"/>
        <s v="RECEITAS DIFERIDAS - SAUDE" u="1"/>
        <s v="FORNECEDORES - SAUDE" u="1"/>
        <s v="RECEITAS - HOSPITAIS" u="1"/>
        <s v="OUTROS ADIANTAMENTOS A" u="1"/>
        <s v="( - ) DEPR.ACUM.BENFEITORIAS - GP" u="1"/>
        <s v="OPME - ORTESES PROTESES E MATERIAIS" u="1"/>
        <s v="CREDITOS - SAUDE" u="1"/>
        <s v="PASSIVO NAO CIRCULANTE -" u="1"/>
        <s v="PATRIMONIO LIQUIDO - SAUD" u="1"/>
        <s v="RECEITAS COM DEPRECIAÇÃO C/CONTRATO GESTÃO" u="1"/>
        <s v="IMOBILIZADO - SAUDE" u="1"/>
        <s v="DIREITO DE USO DE SOFTWA" u="1"/>
        <s v="Contas" u="1"/>
        <s v="ATIVO CIRCULANTE" u="1"/>
        <s v="MOVEIS E MAQUINAS - GP" u="1"/>
        <s v="EMPRESTIMOS DE INSUMOS -" u="1"/>
        <s v="VIAGENS, AJUDA DE CUSTOS" u="1"/>
        <s v="( - ) DEPR.ACUM.INSTRUMENT" u="1"/>
        <s v="MATERIAIS  DE USO DO PACIE" u="1"/>
        <s v="FORNEC. MATERIAIS/MEDICAMENTOS" u="1"/>
        <s v="BENS ADQUIRIDOS A IMOBILIZAR - GP" u="1"/>
        <s v="OUTROS ADIANTAMENTOS A FUNCIONARI" u="1"/>
        <s v="APARELHOS MEDICINA E CIRURGIA - GP" u="1"/>
        <s v="RECEITAS COM CONTRATOS" u="1"/>
        <s v="CREDITOS PAC. SUS" u="1"/>
        <s v="EQUIPAMENTOS DE PROTECAO" u="1"/>
        <s v="RECUPERACAO DE DESP. C/ P" u="1"/>
        <s v="INTANGIVEL - GESTAO PUBLICA." u="1"/>
        <s v="ALUGUÉIS DE BENS MÓVEIS, VEÍCULOS E" u="1"/>
        <s v="( - ) DEPR.ACUM.APARELHOS MEDICINA E CIRURGIA - GP" u="1"/>
        <s v="INSTRUMENTOS DE CIRURGIA" u="1"/>
        <s v="( - ) DEPRECIACOES ACUMULADAS" u="1"/>
        <s v="MIGUEL PAULO DUARTE NETO CPF: 537.195.220-91" u="1"/>
        <s v="( - ) DEPR.ACUM.INSTRUMENTOS MEDICINA E CIRURGIA - GP" u="1"/>
      </sharedItems>
    </cacheField>
    <cacheField name="Mês" numFmtId="14">
      <sharedItems containsSemiMixedTypes="0" containsNonDate="0" containsDate="1" containsString="0" minDate="2020-12-01T00:00:00" maxDate="2021-02-02T00:00:00" count="3">
        <d v="2020-12-01T00:00:00"/>
        <d v="2021-01-01T00:00:00"/>
        <d v="2021-02-01T00:00:00"/>
      </sharedItems>
    </cacheField>
    <cacheField name="Contas" numFmtId="0">
      <sharedItems count="57">
        <s v=""/>
        <s v="1.01.01.01.02"/>
        <s v="1.01.01.01.03"/>
        <s v="1.01.01.02.06"/>
        <s v="1.01.01.02.07"/>
        <s v="1.01.01.02.11"/>
        <s v="2.01.01.02.01"/>
        <s v="2.01.01.02.02"/>
        <s v="2.01.01.02.03"/>
        <s v="2.01.01.02.05"/>
        <s v="2.02.01.02.01"/>
        <s v="3.01.01.05.03"/>
        <s v="3.01.01.05.05"/>
        <s v="3.01.01.06.01"/>
        <s v="4.01.01.01.01"/>
        <s v="4.01.01.01.02"/>
        <s v="4.01.01.01.05"/>
        <s v="4.01.01.01.07"/>
        <s v="4.01.01.01.06"/>
        <s v="4.01.01.01.08"/>
        <s v="2.03.01.01.01"/>
        <s v="1.02.01.04.03" u="1"/>
        <s v="Resultado : 5" u="1"/>
        <s v="1.02.01.03.06" u="1"/>
        <s v="4.01.01.01.03" u="1"/>
        <s v="1.01.01.01" u="1"/>
        <s v="1.02.01.03.01" u="1"/>
        <s v="1.02.01.03" u="1"/>
        <s v="1.01.01.02" u="1"/>
        <s v="1.01.01.03.01" u="1"/>
        <s v=".01.01.02.11." u="1"/>
        <s v="1.02.01.03.04" u="1"/>
        <s v="1.02.01.04" u="1"/>
        <s v="1.01.01.03" u="1"/>
        <s v="1.02.01.05.01" u="1"/>
        <s v="3.01.01.05" u="1"/>
        <s v="2.03.01.01" u="1"/>
        <s v="1.02.01.04.04" u="1"/>
        <s v="3.01.01.05.04" u="1"/>
        <s v="3.01.01.06" u="1"/>
        <s v="4.01.01.01" u="1"/>
        <s v="Total :  1" u="1"/>
        <s v="2.01.01.01.01" u="1"/>
        <s v="2.02.01.02" u="1"/>
        <s v="2.01.01.01" u="1"/>
        <s v="2.01.01.01.04" u="1"/>
        <s v="3.01.01.05.02" u="1"/>
        <s v="2.01.01.02" u="1"/>
        <s v="1.02.01.05.02" u="1"/>
        <s v="2.01.01.02.04" u="1"/>
        <s v="Cód.Estrut" u="1"/>
        <s v="2.01.01.01.02" u="1"/>
        <s v="Cód.Estrutura" u="1"/>
        <s v="Resultado " u="1"/>
        <s v="1.02.01.03.03" u="1"/>
        <s v="1.01.01.02.03" u="1"/>
        <s v="1.01.01.05.05" u="1"/>
      </sharedItems>
    </cacheField>
    <cacheField name="Valor" numFmtId="4">
      <sharedItems containsMixedTypes="1" containsNumber="1" minValue="-73596184.239999995" maxValue="61000000"/>
    </cacheField>
    <cacheField name="Grupo" numFmtId="0">
      <sharedItems count="56">
        <s v=""/>
        <s v="BANCOS C/MOVIMENTO - SAUDE"/>
        <s v="APLICACOES FINANCEIRAS DE LIQUIDEZ IMEDIATA"/>
        <s v="CREDITOS DE FUNCIONARIOS"/>
        <s v="OUTROS CREDITOS"/>
        <s v="IMPOSTOS A RECUPERAR"/>
        <s v="OBRIGACOES TRABALHISTAS"/>
        <s v="OBRIGACOES SOCIAIS"/>
        <s v="OBRIGACOES FISCAIS"/>
        <s v="PROVISOES"/>
        <s v="RECEITAS DIFERIDAS"/>
        <s v="RECEITAS COM SUBVENCOES"/>
        <s v="RECEITAS DIVERSAS"/>
        <s v="RECEITAS FINANCEIRAS"/>
        <s v="PESSOAL SERV. PROPRIOS"/>
        <s v="PESSOAL SERVICOS TERCEIROS"/>
        <s v="GERAIS"/>
        <s v="IMPOSTOS, TAXAS E CONTRIBUICOES"/>
        <s v="PROV. PARA      CUSTOS DO EXERCICIO"/>
        <s v="DESPESAS FINANCEIRAS"/>
        <s v="PATRIMONIO LIQUIDO"/>
        <s v="MATERIAIS E MEDICAMENTO" u="1"/>
        <s v="PESSOAL SERVICOS TERCEIR" u="1"/>
        <s v="MATERIAIS, MEDICAMENTOS E OUTROS" u="1"/>
        <s v="RECEITAS COM DOACOES" u="1"/>
        <s v="BANCOS C/MOVIMENTO - SAU" u="1"/>
        <s v="FORNEC. SERVICOS MEDICOS - PJ -" u="1"/>
        <s v="Grupo" u="1"/>
        <s v="( - ) AMORTIZACOES ACUMULADAS - GEST" u="1"/>
        <s v="PROV. PARA   CUSTOS DO EX" u="1"/>
        <s v="FORNEC. SERVICOS  DIVERSO" u="1"/>
        <s v="(-)DEPRECIACOES ACUMULADAS DE ARR" u="1"/>
        <s v="OBRIGACOES TRABALHISTA" u="1"/>
        <s v="PROV. PARA    CUSTOS DO EXERCICIO" u="1"/>
        <s v="IMOBILIZADO - GESTAO PUBLICA." u="1"/>
        <s v="MATERIAIS, MEDICAMENTOS" u="1"/>
        <s v="(-) DEPR.ACUMULADAS - GESTAO PUBLIC" u="1"/>
        <s v="( - ) AMORTIZACOES ACUMUL" u="1"/>
        <s v="ATIVOS FIXOS DE ARRENDAMENTOS - SA" u="1"/>
        <s v="(-) DEPR.ACUMULADAS - GES" u="1"/>
        <s v="OUTRAS OBRIGACOES" u="1"/>
        <s v="FORNEC. SERVICOS   DIVERSOS PJ" u="1"/>
        <s v="FORNEC.MATERIAIS/MEDICAM" u="1"/>
        <s v="IMOBILIZADO - GESTAO PUBL" u="1"/>
        <s v="CREDITOS DE FUNCIONARIO" u="1"/>
        <s v="IMOBILIZADO" u="1"/>
        <s v="INTANGIVEL - GESTAO PUBLI" u="1"/>
        <s v="FORNEC.MATERIAIS/MEDICAMENTOS" u="1"/>
        <s v="IMPOSTOS, TAXAS E CONTRIB" u="1"/>
        <s v="FORNEC. SERVICOS MEDICOS" u="1"/>
        <s v="MATERIAIS E MEDICAMENTOS" u="1"/>
        <s v="RECEITAS COM CONTRATOS DE GESTAO" u="1"/>
        <s v="RECEITAS COM CONTRATOS" u="1"/>
        <s v="CREDITOS PAC. SUS" u="1"/>
        <s v="INTANGIVEL - GESTAO PUBLICA." u="1"/>
        <s v="( - ) DEPRECIACOES ACUMULADAS" u="1"/>
      </sharedItems>
    </cacheField>
  </cacheFields>
  <extLst>
    <ext xmlns:x14="http://schemas.microsoft.com/office/spreadsheetml/2009/9/main" uri="{725AE2AE-9491-48be-B2B4-4EB974FC3084}">
      <x14:pivotCacheDefinition pivotCacheId="3539330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3">
  <r>
    <x v="0"/>
    <x v="0"/>
    <x v="0"/>
    <s v="ATIVO"/>
    <n v="0"/>
    <n v="104530426.79000001"/>
    <n v="30879684.5"/>
    <n v="73650742.290000007"/>
    <n v="73650742.290000007"/>
    <s v="D"/>
    <x v="0"/>
    <x v="0"/>
    <x v="0"/>
    <x v="0"/>
    <s v=""/>
    <x v="0"/>
  </r>
  <r>
    <x v="0"/>
    <x v="0"/>
    <x v="1"/>
    <s v="ATIVO CIRCULANTE"/>
    <n v="0"/>
    <n v="104530426.79000001"/>
    <n v="30879684.5"/>
    <n v="73650742.290000007"/>
    <n v="73650742.290000007"/>
    <s v="D"/>
    <x v="1"/>
    <x v="0"/>
    <x v="0"/>
    <x v="0"/>
    <s v=""/>
    <x v="0"/>
  </r>
  <r>
    <x v="0"/>
    <x v="0"/>
    <x v="2"/>
    <s v="ATIVO CIRCULANTE - SAUDE"/>
    <n v="0"/>
    <n v="104530426.79000001"/>
    <n v="30879684.5"/>
    <n v="73650742.290000007"/>
    <n v="73650742.290000007"/>
    <s v="D"/>
    <x v="2"/>
    <x v="0"/>
    <x v="0"/>
    <x v="0"/>
    <s v=""/>
    <x v="0"/>
  </r>
  <r>
    <x v="0"/>
    <x v="0"/>
    <x v="3"/>
    <s v="DISPONIVEL - SAUDE"/>
    <n v="0"/>
    <n v="29483148.760000002"/>
    <n v="16833091.789999999"/>
    <n v="12650056.970000003"/>
    <n v="12650056.970000001"/>
    <s v="D"/>
    <x v="3"/>
    <x v="0"/>
    <x v="0"/>
    <x v="0"/>
    <s v=""/>
    <x v="0"/>
  </r>
  <r>
    <x v="0"/>
    <x v="0"/>
    <x v="4"/>
    <s v="BANCOS C/MOVIMENTO - SAUDE"/>
    <n v="0"/>
    <n v="15428842.060000001"/>
    <n v="15428842.060000001"/>
    <n v="0"/>
    <n v="0"/>
    <s v="D"/>
    <x v="4"/>
    <x v="0"/>
    <x v="0"/>
    <x v="1"/>
    <n v="0"/>
    <x v="1"/>
  </r>
  <r>
    <x v="0"/>
    <x v="0"/>
    <x v="5"/>
    <s v="BANCO DO ESTADO DO ESPIRITO SANTO C.C. 3083935-1"/>
    <n v="0"/>
    <n v="15428842.060000001"/>
    <n v="15428842.060000001"/>
    <n v="0"/>
    <n v="0"/>
    <s v="D"/>
    <x v="5"/>
    <x v="1"/>
    <x v="0"/>
    <x v="1"/>
    <n v="0"/>
    <x v="1"/>
  </r>
  <r>
    <x v="0"/>
    <x v="0"/>
    <x v="6"/>
    <s v="APLICACOES FINANCEIRAS DE LIQUIDEZ IMEDIATA"/>
    <n v="0"/>
    <n v="14054306.699999999"/>
    <n v="1404249.73"/>
    <n v="12650056.969999999"/>
    <n v="12650056.970000001"/>
    <s v="D"/>
    <x v="4"/>
    <x v="0"/>
    <x v="0"/>
    <x v="2"/>
    <n v="12650056.969999999"/>
    <x v="2"/>
  </r>
  <r>
    <x v="0"/>
    <x v="0"/>
    <x v="7"/>
    <s v="BANCO DO ESTADO DO ESPIRITO SANTO C.C. 3083935-1"/>
    <n v="0"/>
    <n v="14054306.699999999"/>
    <n v="1404249.73"/>
    <n v="12650056.969999999"/>
    <n v="12650056.970000001"/>
    <s v="D"/>
    <x v="5"/>
    <x v="2"/>
    <x v="0"/>
    <x v="2"/>
    <n v="12650056.969999999"/>
    <x v="2"/>
  </r>
  <r>
    <x v="0"/>
    <x v="0"/>
    <x v="8"/>
    <s v="CREDITOS - SAUDE"/>
    <n v="0"/>
    <n v="75047278.030000001"/>
    <n v="14046592.710000001"/>
    <n v="61000685.32"/>
    <n v="61000685.32"/>
    <s v="D"/>
    <x v="3"/>
    <x v="0"/>
    <x v="0"/>
    <x v="0"/>
    <s v=""/>
    <x v="0"/>
  </r>
  <r>
    <x v="0"/>
    <x v="0"/>
    <x v="9"/>
    <s v="CREDITOS DE FUNCIONARIOS"/>
    <n v="0"/>
    <n v="46592.71"/>
    <n v="46592.71"/>
    <n v="0"/>
    <n v="0"/>
    <s v="D"/>
    <x v="4"/>
    <x v="0"/>
    <x v="0"/>
    <x v="3"/>
    <n v="0"/>
    <x v="3"/>
  </r>
  <r>
    <x v="0"/>
    <x v="0"/>
    <x v="10"/>
    <s v="ADIANTAMENTO DE 13 SALARIO"/>
    <n v="0"/>
    <n v="46592.71"/>
    <n v="46592.71"/>
    <n v="0"/>
    <n v="0"/>
    <s v="D"/>
    <x v="5"/>
    <x v="3"/>
    <x v="0"/>
    <x v="3"/>
    <n v="0"/>
    <x v="3"/>
  </r>
  <r>
    <x v="0"/>
    <x v="0"/>
    <x v="11"/>
    <s v="OUTROS CREDITOS"/>
    <n v="0"/>
    <n v="75000000"/>
    <n v="14000000"/>
    <n v="61000000"/>
    <n v="61000000"/>
    <s v="D"/>
    <x v="4"/>
    <x v="0"/>
    <x v="0"/>
    <x v="4"/>
    <n v="61000000"/>
    <x v="4"/>
  </r>
  <r>
    <x v="0"/>
    <x v="0"/>
    <x v="12"/>
    <s v="SUBVENCAO E ASSISTENCIA GOVERNAMENTAIS A"/>
    <n v="0"/>
    <n v="75000000"/>
    <n v="14000000"/>
    <n v="61000000"/>
    <n v="61000000"/>
    <s v="D"/>
    <x v="5"/>
    <x v="4"/>
    <x v="0"/>
    <x v="4"/>
    <n v="61000000"/>
    <x v="4"/>
  </r>
  <r>
    <x v="0"/>
    <x v="0"/>
    <x v="13"/>
    <s v="IMPOSTOS A RECUPERAR"/>
    <n v="0"/>
    <n v="685.32"/>
    <n v="0"/>
    <n v="685.32"/>
    <n v="685.32"/>
    <s v="D"/>
    <x v="4"/>
    <x v="0"/>
    <x v="0"/>
    <x v="5"/>
    <n v="685.32"/>
    <x v="5"/>
  </r>
  <r>
    <x v="0"/>
    <x v="0"/>
    <x v="14"/>
    <s v="IRRF A RECUPERAR"/>
    <n v="0"/>
    <n v="251.35"/>
    <n v="0"/>
    <n v="251.35"/>
    <n v="251.35"/>
    <s v="D"/>
    <x v="5"/>
    <x v="5"/>
    <x v="0"/>
    <x v="5"/>
    <n v="251.35"/>
    <x v="5"/>
  </r>
  <r>
    <x v="0"/>
    <x v="0"/>
    <x v="15"/>
    <s v="IRRF RETIDO S/ APLICACAO FINANCEIRA"/>
    <n v="0"/>
    <n v="433.97"/>
    <n v="0"/>
    <n v="433.97"/>
    <n v="433.97"/>
    <s v="D"/>
    <x v="5"/>
    <x v="6"/>
    <x v="0"/>
    <x v="5"/>
    <n v="433.97"/>
    <x v="5"/>
  </r>
  <r>
    <x v="0"/>
    <x v="0"/>
    <x v="16"/>
    <s v="P A S S I V O"/>
    <n v="0"/>
    <n v="3109797"/>
    <n v="77240445.950000003"/>
    <n v="-74130648.950000003"/>
    <n v="74130648.950000003"/>
    <s v="C"/>
    <x v="0"/>
    <x v="0"/>
    <x v="0"/>
    <x v="0"/>
    <s v=""/>
    <x v="0"/>
  </r>
  <r>
    <x v="0"/>
    <x v="0"/>
    <x v="17"/>
    <s v="PASSIVO CIRCULANTE"/>
    <n v="0"/>
    <n v="3109797"/>
    <n v="77240445.950000003"/>
    <n v="-74130648.950000003"/>
    <n v="74130648.950000003"/>
    <s v="C"/>
    <x v="1"/>
    <x v="0"/>
    <x v="0"/>
    <x v="0"/>
    <s v=""/>
    <x v="0"/>
  </r>
  <r>
    <x v="0"/>
    <x v="0"/>
    <x v="18"/>
    <s v="PASSIVO CIRCULANTE - SAUDE"/>
    <n v="0"/>
    <n v="1705981.24"/>
    <n v="2240445.9500000002"/>
    <n v="-534464.7100000002"/>
    <n v="534464.71"/>
    <s v="C"/>
    <x v="2"/>
    <x v="0"/>
    <x v="0"/>
    <x v="0"/>
    <s v=""/>
    <x v="0"/>
  </r>
  <r>
    <x v="0"/>
    <x v="0"/>
    <x v="19"/>
    <s v="OBRIGACOES - SAUDE"/>
    <n v="0"/>
    <n v="1705981.24"/>
    <n v="2240445.9500000002"/>
    <n v="-534464.7100000002"/>
    <n v="534464.71"/>
    <s v="C"/>
    <x v="3"/>
    <x v="0"/>
    <x v="0"/>
    <x v="0"/>
    <s v=""/>
    <x v="0"/>
  </r>
  <r>
    <x v="0"/>
    <x v="0"/>
    <x v="20"/>
    <s v="OBRIGACOES TRABALHISTAS"/>
    <n v="0"/>
    <n v="1063504.96"/>
    <n v="1233048.81"/>
    <n v="-169543.85000000009"/>
    <n v="169543.85"/>
    <s v="C"/>
    <x v="4"/>
    <x v="0"/>
    <x v="0"/>
    <x v="6"/>
    <n v="-169543.85000000009"/>
    <x v="6"/>
  </r>
  <r>
    <x v="0"/>
    <x v="0"/>
    <x v="21"/>
    <s v="ORDENADOS A PAGAR"/>
    <n v="0"/>
    <n v="1059213.23"/>
    <n v="1228757.08"/>
    <n v="-169543.85000000009"/>
    <n v="169543.85"/>
    <s v="C"/>
    <x v="5"/>
    <x v="7"/>
    <x v="0"/>
    <x v="6"/>
    <n v="-169543.85000000009"/>
    <x v="6"/>
  </r>
  <r>
    <x v="0"/>
    <x v="0"/>
    <x v="22"/>
    <s v="RESCISOES A PAGAR"/>
    <n v="0"/>
    <n v="4291.7299999999996"/>
    <n v="4291.7299999999996"/>
    <n v="0"/>
    <n v="0"/>
    <s v="C"/>
    <x v="5"/>
    <x v="8"/>
    <x v="0"/>
    <x v="6"/>
    <n v="0"/>
    <x v="6"/>
  </r>
  <r>
    <x v="0"/>
    <x v="0"/>
    <x v="23"/>
    <s v="OBRIGACOES SOCIAIS"/>
    <n v="0"/>
    <n v="358987.39"/>
    <n v="514769"/>
    <n v="-155781.60999999999"/>
    <n v="155781.60999999999"/>
    <s v="C"/>
    <x v="4"/>
    <x v="0"/>
    <x v="0"/>
    <x v="7"/>
    <n v="-155781.60999999999"/>
    <x v="7"/>
  </r>
  <r>
    <x v="0"/>
    <x v="0"/>
    <x v="24"/>
    <s v="F.G.T.S. A RECOLHER"/>
    <n v="0"/>
    <n v="71955.09"/>
    <n v="94298.28"/>
    <n v="-22343.190000000002"/>
    <n v="22343.19"/>
    <s v="C"/>
    <x v="5"/>
    <x v="9"/>
    <x v="0"/>
    <x v="7"/>
    <n v="-22343.190000000002"/>
    <x v="7"/>
  </r>
  <r>
    <x v="0"/>
    <x v="0"/>
    <x v="25"/>
    <s v="I.N.S.S. A RECOLHER FUNCIONARIOS"/>
    <n v="0"/>
    <n v="287032.3"/>
    <n v="408698.08"/>
    <n v="-121665.78000000003"/>
    <n v="121665.78"/>
    <s v="C"/>
    <x v="5"/>
    <x v="10"/>
    <x v="0"/>
    <x v="7"/>
    <n v="-121665.78000000003"/>
    <x v="7"/>
  </r>
  <r>
    <x v="0"/>
    <x v="0"/>
    <x v="26"/>
    <s v="P.I.S. A RECOLHER"/>
    <n v="0"/>
    <n v="0"/>
    <n v="11772.64"/>
    <n v="-11772.64"/>
    <n v="11772.64"/>
    <s v="C"/>
    <x v="5"/>
    <x v="11"/>
    <x v="0"/>
    <x v="7"/>
    <n v="-11772.64"/>
    <x v="7"/>
  </r>
  <r>
    <x v="0"/>
    <x v="0"/>
    <x v="27"/>
    <s v="OBRIGACOES FISCAIS"/>
    <n v="0"/>
    <n v="154623.35999999999"/>
    <n v="194532.32"/>
    <n v="-39908.960000000021"/>
    <n v="39908.959999999999"/>
    <s v="C"/>
    <x v="4"/>
    <x v="0"/>
    <x v="0"/>
    <x v="8"/>
    <n v="-39908.960000000021"/>
    <x v="8"/>
  </r>
  <r>
    <x v="0"/>
    <x v="0"/>
    <x v="28"/>
    <s v="I.R.R.F RETIDO S/FOLHA PAGAMENTO"/>
    <n v="0"/>
    <n v="154623.35999999999"/>
    <n v="194532.32"/>
    <n v="-39908.960000000021"/>
    <n v="39908.959999999999"/>
    <s v="C"/>
    <x v="5"/>
    <x v="12"/>
    <x v="0"/>
    <x v="8"/>
    <n v="-39908.960000000021"/>
    <x v="8"/>
  </r>
  <r>
    <x v="0"/>
    <x v="0"/>
    <x v="29"/>
    <s v="PROVISOES"/>
    <n v="0"/>
    <n v="128865.53"/>
    <n v="298095.82"/>
    <n v="-169230.29"/>
    <n v="169230.29"/>
    <s v="C"/>
    <x v="4"/>
    <x v="0"/>
    <x v="0"/>
    <x v="9"/>
    <n v="-169230.29"/>
    <x v="9"/>
  </r>
  <r>
    <x v="0"/>
    <x v="0"/>
    <x v="30"/>
    <s v="PROVISAO PARA 13 SALARIO"/>
    <n v="0"/>
    <n v="89595.17"/>
    <n v="89595.17"/>
    <n v="0"/>
    <n v="0"/>
    <s v="C"/>
    <x v="5"/>
    <x v="13"/>
    <x v="0"/>
    <x v="9"/>
    <n v="0"/>
    <x v="9"/>
  </r>
  <r>
    <x v="0"/>
    <x v="0"/>
    <x v="31"/>
    <s v="PROVISAO PARA FERIAS"/>
    <n v="0"/>
    <n v="4605.05"/>
    <n v="128311.63"/>
    <n v="-123706.58"/>
    <n v="123706.58"/>
    <s v="C"/>
    <x v="5"/>
    <x v="14"/>
    <x v="0"/>
    <x v="9"/>
    <n v="-123706.58"/>
    <x v="9"/>
  </r>
  <r>
    <x v="0"/>
    <x v="0"/>
    <x v="32"/>
    <s v="PROVISAO PARA   ENCARGOS SOCIAIS - 13 SAL"/>
    <n v="0"/>
    <n v="32970.660000000003"/>
    <n v="32970.660000000003"/>
    <n v="0"/>
    <n v="0"/>
    <s v="C"/>
    <x v="5"/>
    <x v="15"/>
    <x v="0"/>
    <x v="9"/>
    <n v="0"/>
    <x v="9"/>
  </r>
  <r>
    <x v="0"/>
    <x v="0"/>
    <x v="33"/>
    <s v="PROVISAO PARA   ENCARGOS SOCIAIS - FÉRIAS"/>
    <n v="0"/>
    <n v="1694.65"/>
    <n v="47218.36"/>
    <n v="-45523.71"/>
    <n v="45523.71"/>
    <s v="C"/>
    <x v="5"/>
    <x v="16"/>
    <x v="0"/>
    <x v="9"/>
    <n v="-45523.71"/>
    <x v="9"/>
  </r>
  <r>
    <x v="0"/>
    <x v="0"/>
    <x v="34"/>
    <s v="PASSIVO NAO CIRCULANTE - SAUDE"/>
    <n v="0"/>
    <n v="1403815.76"/>
    <n v="75000000"/>
    <n v="-73596184.239999995"/>
    <n v="73596184.239999995"/>
    <s v="C"/>
    <x v="2"/>
    <x v="0"/>
    <x v="0"/>
    <x v="0"/>
    <s v=""/>
    <x v="0"/>
  </r>
  <r>
    <x v="0"/>
    <x v="0"/>
    <x v="35"/>
    <s v="RECEITAS DIFERIDAS - SAUDE"/>
    <n v="0"/>
    <n v="1403815.76"/>
    <n v="75000000"/>
    <n v="-73596184.239999995"/>
    <n v="73596184.239999995"/>
    <s v="C"/>
    <x v="3"/>
    <x v="0"/>
    <x v="0"/>
    <x v="0"/>
    <s v=""/>
    <x v="0"/>
  </r>
  <r>
    <x v="0"/>
    <x v="0"/>
    <x v="36"/>
    <s v="RECEITAS DIFERIDAS"/>
    <n v="0"/>
    <n v="1403815.76"/>
    <n v="75000000"/>
    <n v="-73596184.239999995"/>
    <n v="73596184.239999995"/>
    <s v="C"/>
    <x v="4"/>
    <x v="0"/>
    <x v="0"/>
    <x v="10"/>
    <n v="-73596184.239999995"/>
    <x v="10"/>
  </r>
  <r>
    <x v="0"/>
    <x v="0"/>
    <x v="37"/>
    <s v="SUBVENCAO   E ASSISTENCIA GOVERNAMENTAIS"/>
    <n v="0"/>
    <n v="1403815.76"/>
    <n v="75000000"/>
    <n v="-73596184.239999995"/>
    <n v="73596184.239999995"/>
    <s v="C"/>
    <x v="5"/>
    <x v="17"/>
    <x v="0"/>
    <x v="10"/>
    <n v="-73596184.239999995"/>
    <x v="10"/>
  </r>
  <r>
    <x v="0"/>
    <x v="0"/>
    <x v="38"/>
    <s v="R E C E I T A S"/>
    <n v="0"/>
    <n v="0"/>
    <n v="1433646.3"/>
    <n v="-1433646.3"/>
    <n v="1433646.3"/>
    <s v="C"/>
    <x v="0"/>
    <x v="0"/>
    <x v="0"/>
    <x v="0"/>
    <s v=""/>
    <x v="0"/>
  </r>
  <r>
    <x v="0"/>
    <x v="0"/>
    <x v="39"/>
    <s v="RECEITAS - SAUDE"/>
    <n v="0"/>
    <n v="0"/>
    <n v="1433646.3"/>
    <n v="-1433646.3"/>
    <n v="1433646.3"/>
    <s v="C"/>
    <x v="1"/>
    <x v="0"/>
    <x v="0"/>
    <x v="0"/>
    <s v=""/>
    <x v="0"/>
  </r>
  <r>
    <x v="0"/>
    <x v="0"/>
    <x v="40"/>
    <s v="RECEITAS - HOSPITAIS"/>
    <n v="0"/>
    <n v="0"/>
    <n v="1433646.3"/>
    <n v="-1433646.3"/>
    <n v="1433646.3"/>
    <s v="C"/>
    <x v="2"/>
    <x v="0"/>
    <x v="0"/>
    <x v="0"/>
    <s v=""/>
    <x v="0"/>
  </r>
  <r>
    <x v="0"/>
    <x v="0"/>
    <x v="41"/>
    <s v="OUTRAS RECEITAS OPERACIONAIS"/>
    <n v="0"/>
    <n v="0"/>
    <n v="1404365.9"/>
    <n v="-1404365.9"/>
    <n v="1404365.9"/>
    <s v="C"/>
    <x v="3"/>
    <x v="0"/>
    <x v="0"/>
    <x v="0"/>
    <s v=""/>
    <x v="0"/>
  </r>
  <r>
    <x v="0"/>
    <x v="0"/>
    <x v="42"/>
    <s v="RECEITAS COM SUBVENCOES"/>
    <n v="0"/>
    <n v="0"/>
    <n v="1403815.76"/>
    <n v="-1403815.76"/>
    <n v="1403815.76"/>
    <s v="C"/>
    <x v="4"/>
    <x v="0"/>
    <x v="0"/>
    <x v="11"/>
    <n v="-1403815.76"/>
    <x v="11"/>
  </r>
  <r>
    <x v="0"/>
    <x v="0"/>
    <x v="43"/>
    <s v="ESTADUAL"/>
    <n v="0"/>
    <n v="0"/>
    <n v="1403815.76"/>
    <n v="-1403815.76"/>
    <n v="1403815.76"/>
    <s v="C"/>
    <x v="5"/>
    <x v="18"/>
    <x v="0"/>
    <x v="11"/>
    <n v="-1403815.76"/>
    <x v="11"/>
  </r>
  <r>
    <x v="0"/>
    <x v="0"/>
    <x v="44"/>
    <s v="RECEITAS DIVERSAS"/>
    <n v="0"/>
    <n v="0"/>
    <n v="550.14"/>
    <n v="-550.14"/>
    <n v="550.14"/>
    <s v="C"/>
    <x v="4"/>
    <x v="0"/>
    <x v="0"/>
    <x v="12"/>
    <n v="-550.14"/>
    <x v="12"/>
  </r>
  <r>
    <x v="0"/>
    <x v="0"/>
    <x v="45"/>
    <s v="RECUPERACAO DE DESP. C/ PESSOAL"/>
    <n v="0"/>
    <n v="0"/>
    <n v="550.14"/>
    <n v="-550.14"/>
    <n v="550.14"/>
    <s v="C"/>
    <x v="5"/>
    <x v="19"/>
    <x v="0"/>
    <x v="12"/>
    <n v="-550.14"/>
    <x v="12"/>
  </r>
  <r>
    <x v="0"/>
    <x v="0"/>
    <x v="46"/>
    <s v="RECEITAS FINANCEIRAS"/>
    <n v="0"/>
    <n v="0"/>
    <n v="29280.400000000001"/>
    <n v="-29280.400000000001"/>
    <n v="29280.400000000001"/>
    <s v="C"/>
    <x v="3"/>
    <x v="0"/>
    <x v="0"/>
    <x v="0"/>
    <s v=""/>
    <x v="0"/>
  </r>
  <r>
    <x v="0"/>
    <x v="0"/>
    <x v="47"/>
    <s v="RECEITAS FINANCEIRAS"/>
    <n v="0"/>
    <n v="0"/>
    <n v="29280.400000000001"/>
    <n v="-29280.400000000001"/>
    <n v="29280.400000000001"/>
    <s v="C"/>
    <x v="4"/>
    <x v="0"/>
    <x v="0"/>
    <x v="13"/>
    <n v="-29280.400000000001"/>
    <x v="13"/>
  </r>
  <r>
    <x v="0"/>
    <x v="0"/>
    <x v="48"/>
    <s v="RENDIM. APLICACOES FINANCEIRAS"/>
    <n v="0"/>
    <n v="0"/>
    <n v="29280.400000000001"/>
    <n v="-29280.400000000001"/>
    <n v="29280.400000000001"/>
    <s v="C"/>
    <x v="5"/>
    <x v="20"/>
    <x v="0"/>
    <x v="13"/>
    <n v="-29280.400000000001"/>
    <x v="13"/>
  </r>
  <r>
    <x v="0"/>
    <x v="0"/>
    <x v="49"/>
    <s v="D E S P E S A S"/>
    <n v="0"/>
    <n v="1919500.79"/>
    <n v="5947.83"/>
    <n v="1913552.96"/>
    <n v="1913552.96"/>
    <s v="D"/>
    <x v="0"/>
    <x v="0"/>
    <x v="0"/>
    <x v="0"/>
    <s v=""/>
    <x v="0"/>
  </r>
  <r>
    <x v="0"/>
    <x v="0"/>
    <x v="50"/>
    <s v="DESPESAS - SAUDE"/>
    <n v="0"/>
    <n v="1919500.79"/>
    <n v="5947.83"/>
    <n v="1913552.96"/>
    <n v="1913552.96"/>
    <s v="D"/>
    <x v="1"/>
    <x v="0"/>
    <x v="0"/>
    <x v="0"/>
    <s v=""/>
    <x v="0"/>
  </r>
  <r>
    <x v="0"/>
    <x v="0"/>
    <x v="51"/>
    <s v="DESPESAS - HOSPITAIS"/>
    <n v="0"/>
    <n v="1919500.79"/>
    <n v="5947.83"/>
    <n v="1913552.96"/>
    <n v="1913552.96"/>
    <s v="D"/>
    <x v="2"/>
    <x v="0"/>
    <x v="0"/>
    <x v="0"/>
    <s v=""/>
    <x v="0"/>
  </r>
  <r>
    <x v="0"/>
    <x v="0"/>
    <x v="52"/>
    <s v="CUSTOS - SAUDE"/>
    <n v="0"/>
    <n v="1919500.79"/>
    <n v="5947.83"/>
    <n v="1913552.96"/>
    <n v="1913552.96"/>
    <s v="D"/>
    <x v="3"/>
    <x v="0"/>
    <x v="0"/>
    <x v="0"/>
    <s v=""/>
    <x v="0"/>
  </r>
  <r>
    <x v="0"/>
    <x v="0"/>
    <x v="53"/>
    <s v="PESSOAL SERV. PROPRIOS"/>
    <n v="0"/>
    <n v="1838459.45"/>
    <n v="5947.83"/>
    <n v="1832511.6199999999"/>
    <n v="1832511.62"/>
    <s v="D"/>
    <x v="4"/>
    <x v="0"/>
    <x v="0"/>
    <x v="14"/>
    <n v="1832511.6199999999"/>
    <x v="14"/>
  </r>
  <r>
    <x v="0"/>
    <x v="0"/>
    <x v="54"/>
    <s v="ORDENADOS"/>
    <n v="0"/>
    <n v="1087683.46"/>
    <n v="0"/>
    <n v="1087683.46"/>
    <n v="1087683.46"/>
    <s v="D"/>
    <x v="5"/>
    <x v="21"/>
    <x v="0"/>
    <x v="14"/>
    <n v="1087683.46"/>
    <x v="14"/>
  </r>
  <r>
    <x v="0"/>
    <x v="0"/>
    <x v="55"/>
    <s v="13 SALARIO"/>
    <n v="0"/>
    <n v="89595.17"/>
    <n v="0"/>
    <n v="89595.17"/>
    <n v="89595.17"/>
    <s v="D"/>
    <x v="5"/>
    <x v="22"/>
    <x v="0"/>
    <x v="14"/>
    <n v="89595.17"/>
    <x v="14"/>
  </r>
  <r>
    <x v="0"/>
    <x v="0"/>
    <x v="56"/>
    <s v="FERIAS"/>
    <n v="0"/>
    <n v="128311.63"/>
    <n v="4253.18"/>
    <n v="124058.45000000001"/>
    <n v="124058.45"/>
    <s v="D"/>
    <x v="5"/>
    <x v="23"/>
    <x v="0"/>
    <x v="14"/>
    <n v="124058.45000000001"/>
    <x v="14"/>
  </r>
  <r>
    <x v="0"/>
    <x v="0"/>
    <x v="57"/>
    <s v="INDENIZACAO E AVISOS PREVIOS"/>
    <n v="0"/>
    <n v="837.4"/>
    <n v="0"/>
    <n v="837.4"/>
    <n v="837.4"/>
    <s v="D"/>
    <x v="5"/>
    <x v="24"/>
    <x v="0"/>
    <x v="14"/>
    <n v="837.4"/>
    <x v="14"/>
  </r>
  <r>
    <x v="0"/>
    <x v="0"/>
    <x v="58"/>
    <s v="CONTRIBUICOES AO FGTS"/>
    <n v="0"/>
    <n v="104563.02"/>
    <n v="368.4"/>
    <n v="104194.62000000001"/>
    <n v="104194.62"/>
    <s v="D"/>
    <x v="5"/>
    <x v="25"/>
    <x v="0"/>
    <x v="14"/>
    <n v="104194.62000000001"/>
    <x v="14"/>
  </r>
  <r>
    <x v="0"/>
    <x v="0"/>
    <x v="59"/>
    <s v="CONTRIBUICOES AO PIS"/>
    <n v="0"/>
    <n v="13055.74"/>
    <n v="46.05"/>
    <n v="13009.69"/>
    <n v="13009.69"/>
    <s v="D"/>
    <x v="5"/>
    <x v="26"/>
    <x v="0"/>
    <x v="14"/>
    <n v="13009.69"/>
    <x v="14"/>
  </r>
  <r>
    <x v="0"/>
    <x v="0"/>
    <x v="60"/>
    <s v="VALE TRANSPORTE"/>
    <n v="0"/>
    <n v="1170"/>
    <n v="0"/>
    <n v="1170"/>
    <n v="1170"/>
    <s v="D"/>
    <x v="5"/>
    <x v="27"/>
    <x v="0"/>
    <x v="14"/>
    <n v="1170"/>
    <x v="14"/>
  </r>
  <r>
    <x v="0"/>
    <x v="0"/>
    <x v="61"/>
    <s v="CONTRIBUICAO PATRONAL - INSS"/>
    <n v="0"/>
    <n v="261118.19"/>
    <n v="921.01"/>
    <n v="260197.18"/>
    <n v="260197.18"/>
    <s v="D"/>
    <x v="5"/>
    <x v="28"/>
    <x v="0"/>
    <x v="14"/>
    <n v="260197.18"/>
    <x v="14"/>
  </r>
  <r>
    <x v="0"/>
    <x v="0"/>
    <x v="62"/>
    <s v="GRATIFICACOES"/>
    <n v="0"/>
    <n v="41889.18"/>
    <n v="0"/>
    <n v="41889.18"/>
    <n v="41889.18"/>
    <s v="D"/>
    <x v="5"/>
    <x v="29"/>
    <x v="0"/>
    <x v="14"/>
    <n v="41889.18"/>
    <x v="14"/>
  </r>
  <r>
    <x v="0"/>
    <x v="0"/>
    <x v="63"/>
    <s v="SEGURO ACIDENTE DE TRABALHO"/>
    <n v="0"/>
    <n v="26111.71"/>
    <n v="92.11"/>
    <n v="26019.599999999999"/>
    <n v="26019.599999999999"/>
    <s v="D"/>
    <x v="5"/>
    <x v="30"/>
    <x v="0"/>
    <x v="14"/>
    <n v="26019.599999999999"/>
    <x v="14"/>
  </r>
  <r>
    <x v="0"/>
    <x v="0"/>
    <x v="64"/>
    <s v="COTA TERCEIROS ( SESC, SENAC, INCRA )"/>
    <n v="0"/>
    <n v="75723.95"/>
    <n v="267.08"/>
    <n v="75456.87"/>
    <n v="75456.87"/>
    <s v="D"/>
    <x v="5"/>
    <x v="31"/>
    <x v="0"/>
    <x v="14"/>
    <n v="75456.87"/>
    <x v="14"/>
  </r>
  <r>
    <x v="0"/>
    <x v="0"/>
    <x v="65"/>
    <s v="VALE REFEICAO"/>
    <n v="0"/>
    <n v="8400"/>
    <n v="0"/>
    <n v="8400"/>
    <n v="8400"/>
    <s v="D"/>
    <x v="5"/>
    <x v="32"/>
    <x v="0"/>
    <x v="14"/>
    <n v="8400"/>
    <x v="14"/>
  </r>
  <r>
    <x v="0"/>
    <x v="0"/>
    <x v="66"/>
    <s v="PESSOAL SERVICOS TERCEIROS"/>
    <n v="0"/>
    <n v="2852.6"/>
    <n v="0"/>
    <n v="2852.6"/>
    <n v="2852.6"/>
    <s v="D"/>
    <x v="4"/>
    <x v="0"/>
    <x v="0"/>
    <x v="15"/>
    <n v="2852.6"/>
    <x v="15"/>
  </r>
  <r>
    <x v="0"/>
    <x v="0"/>
    <x v="67"/>
    <s v="ASSESSORIA EMPRESARIAL E SERVIÇOS ADMINI"/>
    <n v="0"/>
    <n v="2852.6"/>
    <n v="0"/>
    <n v="2852.6"/>
    <n v="2852.6"/>
    <s v="D"/>
    <x v="5"/>
    <x v="33"/>
    <x v="0"/>
    <x v="15"/>
    <n v="2852.6"/>
    <x v="15"/>
  </r>
  <r>
    <x v="0"/>
    <x v="0"/>
    <x v="68"/>
    <s v="GERAIS"/>
    <n v="0"/>
    <n v="75612.91"/>
    <n v="0"/>
    <n v="75612.91"/>
    <n v="75612.91"/>
    <s v="D"/>
    <x v="4"/>
    <x v="0"/>
    <x v="0"/>
    <x v="16"/>
    <n v="75612.91"/>
    <x v="16"/>
  </r>
  <r>
    <x v="0"/>
    <x v="0"/>
    <x v="69"/>
    <s v="ANUNCIOS E PUBLICIDADES"/>
    <n v="0"/>
    <n v="236.98"/>
    <n v="0"/>
    <n v="236.98"/>
    <n v="236.98"/>
    <s v="D"/>
    <x v="5"/>
    <x v="34"/>
    <x v="0"/>
    <x v="16"/>
    <n v="236.98"/>
    <x v="16"/>
  </r>
  <r>
    <x v="0"/>
    <x v="0"/>
    <x v="70"/>
    <s v="REMUNERACAO DE SERVIDORES CEDIDOS"/>
    <n v="0"/>
    <n v="62513.16"/>
    <n v="0"/>
    <n v="62513.16"/>
    <n v="62513.16"/>
    <s v="D"/>
    <x v="5"/>
    <x v="35"/>
    <x v="0"/>
    <x v="16"/>
    <n v="62513.16"/>
    <x v="16"/>
  </r>
  <r>
    <x v="0"/>
    <x v="0"/>
    <x v="71"/>
    <s v="CONTRIBUICAO PREVIDENCIARIA S/ SERVIDORES CEDIDOS"/>
    <n v="0"/>
    <n v="12862.77"/>
    <n v="0"/>
    <n v="12862.77"/>
    <n v="12862.77"/>
    <s v="D"/>
    <x v="5"/>
    <x v="36"/>
    <x v="0"/>
    <x v="16"/>
    <n v="12862.77"/>
    <x v="16"/>
  </r>
  <r>
    <x v="0"/>
    <x v="0"/>
    <x v="72"/>
    <s v="IMPOSTOS, TAXAS E CONTRIBUICOES"/>
    <n v="0"/>
    <n v="2575.83"/>
    <n v="0"/>
    <n v="2575.83"/>
    <n v="2575.83"/>
    <s v="D"/>
    <x v="4"/>
    <x v="0"/>
    <x v="0"/>
    <x v="17"/>
    <n v="2575.83"/>
    <x v="17"/>
  </r>
  <r>
    <x v="0"/>
    <x v="0"/>
    <x v="73"/>
    <s v="MULTAS"/>
    <n v="0"/>
    <n v="2575.83"/>
    <n v="0"/>
    <n v="2575.83"/>
    <n v="2575.83"/>
    <s v="D"/>
    <x v="5"/>
    <x v="37"/>
    <x v="0"/>
    <x v="17"/>
    <n v="2575.83"/>
    <x v="17"/>
  </r>
  <r>
    <x v="1"/>
    <x v="1"/>
    <x v="0"/>
    <s v="ATIVO"/>
    <n v="73654019.719999999"/>
    <n v="337809.09"/>
    <n v="638391.93999999994"/>
    <n v="-300582.84999999992"/>
    <n v="73353436.870000005"/>
    <s v="D"/>
    <x v="0"/>
    <x v="0"/>
    <x v="1"/>
    <x v="0"/>
    <s v=""/>
    <x v="0"/>
  </r>
  <r>
    <x v="1"/>
    <x v="1"/>
    <x v="1"/>
    <s v="ATIVO CIRCULANTE"/>
    <n v="73654019.719999999"/>
    <n v="337809.09"/>
    <n v="638391.93999999994"/>
    <n v="-300582.84999999992"/>
    <n v="73353436.870000005"/>
    <s v="D"/>
    <x v="1"/>
    <x v="0"/>
    <x v="1"/>
    <x v="0"/>
    <s v=""/>
    <x v="0"/>
  </r>
  <r>
    <x v="1"/>
    <x v="1"/>
    <x v="2"/>
    <s v="ATIVO CIRCULANTE - SAUDE"/>
    <n v="73654019.719999999"/>
    <n v="337809.09"/>
    <n v="638391.93999999994"/>
    <n v="-300582.84999999992"/>
    <n v="73353436.870000005"/>
    <s v="D"/>
    <x v="2"/>
    <x v="0"/>
    <x v="1"/>
    <x v="0"/>
    <s v=""/>
    <x v="0"/>
  </r>
  <r>
    <x v="1"/>
    <x v="1"/>
    <x v="3"/>
    <s v="DISPONIVEL - SAUDE"/>
    <n v="12650056.970000001"/>
    <n v="337809.09"/>
    <n v="638391.93999999994"/>
    <n v="-300582.84999999992"/>
    <n v="12349474.119999999"/>
    <s v="D"/>
    <x v="3"/>
    <x v="0"/>
    <x v="1"/>
    <x v="0"/>
    <s v=""/>
    <x v="0"/>
  </r>
  <r>
    <x v="1"/>
    <x v="1"/>
    <x v="4"/>
    <s v="BANCOS C/MOVIMENTO - SAUDE"/>
    <n v="0"/>
    <n v="319195.96999999997"/>
    <n v="319195.96999999997"/>
    <n v="0"/>
    <n v="0"/>
    <s v="D"/>
    <x v="4"/>
    <x v="0"/>
    <x v="1"/>
    <x v="1"/>
    <n v="0"/>
    <x v="1"/>
  </r>
  <r>
    <x v="1"/>
    <x v="1"/>
    <x v="5"/>
    <s v="BANCO DO ESTADO DO ESPIRITO SANTO C.C. 3083935-1"/>
    <n v="0"/>
    <n v="319195.96999999997"/>
    <n v="319195.96999999997"/>
    <n v="0"/>
    <n v="0"/>
    <s v="D"/>
    <x v="5"/>
    <x v="1"/>
    <x v="1"/>
    <x v="1"/>
    <n v="0"/>
    <x v="1"/>
  </r>
  <r>
    <x v="1"/>
    <x v="1"/>
    <x v="6"/>
    <s v="APLICACOES FINANCEIRAS DE LIQUIDEZ IMEDIATA"/>
    <n v="12650056.970000001"/>
    <n v="18613.12"/>
    <n v="319195.96999999997"/>
    <n v="-300582.84999999998"/>
    <n v="12349474.119999999"/>
    <s v="D"/>
    <x v="4"/>
    <x v="0"/>
    <x v="1"/>
    <x v="2"/>
    <n v="-300582.84999999998"/>
    <x v="2"/>
  </r>
  <r>
    <x v="1"/>
    <x v="1"/>
    <x v="7"/>
    <s v="BANCO DO ESTADO DO ESPIRITO SANTO C.C. 3083935-1"/>
    <n v="12650056.970000001"/>
    <n v="18613.12"/>
    <n v="319195.96999999997"/>
    <n v="-300582.84999999998"/>
    <n v="12349474.119999999"/>
    <s v="D"/>
    <x v="5"/>
    <x v="2"/>
    <x v="1"/>
    <x v="2"/>
    <n v="-300582.84999999998"/>
    <x v="2"/>
  </r>
  <r>
    <x v="1"/>
    <x v="1"/>
    <x v="8"/>
    <s v="CREDITOS - SAUDE"/>
    <n v="61003962.75"/>
    <n v="0"/>
    <n v="0"/>
    <n v="0"/>
    <n v="61003962.75"/>
    <s v="D"/>
    <x v="3"/>
    <x v="0"/>
    <x v="1"/>
    <x v="0"/>
    <s v=""/>
    <x v="0"/>
  </r>
  <r>
    <x v="1"/>
    <x v="1"/>
    <x v="9"/>
    <s v="CREDITOS DE FUNCIONARIOS"/>
    <n v="3277.43"/>
    <n v="0"/>
    <n v="0"/>
    <n v="0"/>
    <n v="3277.43"/>
    <s v="D"/>
    <x v="4"/>
    <x v="0"/>
    <x v="1"/>
    <x v="3"/>
    <n v="0"/>
    <x v="3"/>
  </r>
  <r>
    <x v="1"/>
    <x v="1"/>
    <x v="74"/>
    <s v="OUTROS ADIANTAMENTOS A FUNCIONARIOS"/>
    <n v="3277.43"/>
    <n v="0"/>
    <n v="0"/>
    <n v="0"/>
    <n v="3277.43"/>
    <s v="D"/>
    <x v="5"/>
    <x v="38"/>
    <x v="1"/>
    <x v="3"/>
    <n v="0"/>
    <x v="3"/>
  </r>
  <r>
    <x v="1"/>
    <x v="1"/>
    <x v="11"/>
    <s v="OUTROS CREDITOS"/>
    <n v="61000000"/>
    <n v="0"/>
    <n v="0"/>
    <n v="0"/>
    <n v="61000000"/>
    <s v="D"/>
    <x v="4"/>
    <x v="0"/>
    <x v="1"/>
    <x v="4"/>
    <n v="0"/>
    <x v="4"/>
  </r>
  <r>
    <x v="1"/>
    <x v="1"/>
    <x v="12"/>
    <s v="SUBVENCAO E ASSISTENCIA GOVERNAMENTAIS A"/>
    <n v="61000000"/>
    <n v="0"/>
    <n v="0"/>
    <n v="0"/>
    <n v="61000000"/>
    <s v="D"/>
    <x v="5"/>
    <x v="4"/>
    <x v="1"/>
    <x v="4"/>
    <n v="0"/>
    <x v="4"/>
  </r>
  <r>
    <x v="1"/>
    <x v="1"/>
    <x v="13"/>
    <s v="IMPOSTOS A RECUPERAR"/>
    <n v="685.32"/>
    <n v="0"/>
    <n v="0"/>
    <n v="0"/>
    <n v="685.32"/>
    <s v="D"/>
    <x v="4"/>
    <x v="0"/>
    <x v="1"/>
    <x v="5"/>
    <n v="0"/>
    <x v="5"/>
  </r>
  <r>
    <x v="1"/>
    <x v="1"/>
    <x v="14"/>
    <s v="IRRF A RECUPERAR"/>
    <n v="251.35"/>
    <n v="0"/>
    <n v="0"/>
    <n v="0"/>
    <n v="251.35"/>
    <s v="D"/>
    <x v="5"/>
    <x v="5"/>
    <x v="1"/>
    <x v="5"/>
    <n v="0"/>
    <x v="5"/>
  </r>
  <r>
    <x v="1"/>
    <x v="1"/>
    <x v="15"/>
    <s v="IRRF RETIDO S/ APLICACAO FINANCEIRA"/>
    <n v="433.97"/>
    <n v="0"/>
    <n v="0"/>
    <n v="0"/>
    <n v="433.97"/>
    <s v="D"/>
    <x v="5"/>
    <x v="6"/>
    <x v="1"/>
    <x v="5"/>
    <n v="0"/>
    <x v="5"/>
  </r>
  <r>
    <x v="1"/>
    <x v="1"/>
    <x v="16"/>
    <s v="P A S S I V O"/>
    <n v="74134757.780000001"/>
    <n v="642431.27"/>
    <n v="429269.54"/>
    <n v="213161.73000000004"/>
    <n v="73921596.049999997"/>
    <s v="C"/>
    <x v="0"/>
    <x v="0"/>
    <x v="1"/>
    <x v="0"/>
    <s v=""/>
    <x v="0"/>
  </r>
  <r>
    <x v="1"/>
    <x v="1"/>
    <x v="17"/>
    <s v="PASSIVO CIRCULANTE"/>
    <n v="74134757.780000001"/>
    <n v="642431.27"/>
    <n v="429269.54"/>
    <n v="213161.73000000004"/>
    <n v="73921596.049999997"/>
    <s v="C"/>
    <x v="1"/>
    <x v="0"/>
    <x v="1"/>
    <x v="0"/>
    <s v=""/>
    <x v="0"/>
  </r>
  <r>
    <x v="1"/>
    <x v="1"/>
    <x v="18"/>
    <s v="PASSIVO CIRCULANTE - SAUDE"/>
    <n v="538573.54"/>
    <n v="339283.77"/>
    <n v="429269.54"/>
    <n v="-89985.76999999996"/>
    <n v="628559.31000000006"/>
    <s v="C"/>
    <x v="2"/>
    <x v="0"/>
    <x v="1"/>
    <x v="0"/>
    <s v=""/>
    <x v="0"/>
  </r>
  <r>
    <x v="1"/>
    <x v="1"/>
    <x v="19"/>
    <s v="OBRIGACOES - SAUDE"/>
    <n v="538573.54"/>
    <n v="339283.77"/>
    <n v="429269.54"/>
    <n v="-89985.76999999996"/>
    <n v="628559.31000000006"/>
    <s v="C"/>
    <x v="3"/>
    <x v="0"/>
    <x v="1"/>
    <x v="0"/>
    <s v=""/>
    <x v="0"/>
  </r>
  <r>
    <x v="1"/>
    <x v="1"/>
    <x v="20"/>
    <s v="OBRIGACOES TRABALHISTAS"/>
    <n v="172821.28"/>
    <n v="223455.84"/>
    <n v="237103.24"/>
    <n v="-13647.399999999994"/>
    <n v="186468.68"/>
    <s v="C"/>
    <x v="4"/>
    <x v="0"/>
    <x v="1"/>
    <x v="6"/>
    <n v="-13647.399999999994"/>
    <x v="6"/>
  </r>
  <r>
    <x v="1"/>
    <x v="1"/>
    <x v="21"/>
    <s v="ORDENADOS A PAGAR"/>
    <n v="172821.28"/>
    <n v="223455.84"/>
    <n v="237103.24"/>
    <n v="-13647.399999999994"/>
    <n v="186468.68"/>
    <s v="C"/>
    <x v="5"/>
    <x v="7"/>
    <x v="1"/>
    <x v="6"/>
    <n v="-13647.399999999994"/>
    <x v="6"/>
  </r>
  <r>
    <x v="1"/>
    <x v="1"/>
    <x v="23"/>
    <s v="OBRIGACOES SOCIAIS"/>
    <n v="156633.14000000001"/>
    <n v="75584.990000000005"/>
    <n v="97543.77"/>
    <n v="-21958.78"/>
    <n v="178591.92"/>
    <s v="C"/>
    <x v="4"/>
    <x v="0"/>
    <x v="1"/>
    <x v="7"/>
    <n v="-21958.78"/>
    <x v="7"/>
  </r>
  <r>
    <x v="1"/>
    <x v="1"/>
    <x v="24"/>
    <s v="F.G.T.S. A RECOLHER"/>
    <n v="23194.720000000001"/>
    <n v="0"/>
    <n v="17308.59"/>
    <n v="-17308.59"/>
    <n v="40503.31"/>
    <s v="C"/>
    <x v="5"/>
    <x v="9"/>
    <x v="1"/>
    <x v="7"/>
    <n v="-17308.59"/>
    <x v="7"/>
  </r>
  <r>
    <x v="1"/>
    <x v="1"/>
    <x v="25"/>
    <s v="I.N.S.S. A RECOLHER FUNCIONARIOS"/>
    <n v="121665.78"/>
    <n v="65265.69"/>
    <n v="78071.61"/>
    <n v="-12805.919999999998"/>
    <n v="134471.70000000001"/>
    <s v="C"/>
    <x v="5"/>
    <x v="10"/>
    <x v="1"/>
    <x v="7"/>
    <n v="-12805.919999999998"/>
    <x v="7"/>
  </r>
  <r>
    <x v="1"/>
    <x v="1"/>
    <x v="26"/>
    <s v="P.I.S. A RECOLHER"/>
    <n v="11772.64"/>
    <n v="10319.299999999999"/>
    <n v="2163.5700000000002"/>
    <n v="8155.73"/>
    <n v="3616.91"/>
    <s v="C"/>
    <x v="5"/>
    <x v="11"/>
    <x v="1"/>
    <x v="7"/>
    <n v="8155.73"/>
    <x v="7"/>
  </r>
  <r>
    <x v="1"/>
    <x v="1"/>
    <x v="27"/>
    <s v="OBRIGACOES FISCAIS"/>
    <n v="39908.959999999999"/>
    <n v="40242.94"/>
    <n v="32710.93"/>
    <n v="7532.010000000002"/>
    <n v="32376.95"/>
    <s v="C"/>
    <x v="4"/>
    <x v="0"/>
    <x v="1"/>
    <x v="8"/>
    <n v="7532.010000000002"/>
    <x v="8"/>
  </r>
  <r>
    <x v="1"/>
    <x v="1"/>
    <x v="28"/>
    <s v="I.R.R.F RETIDO S/FOLHA PAGAMENTO"/>
    <n v="39908.959999999999"/>
    <n v="40242.94"/>
    <n v="32710.93"/>
    <n v="7532.010000000002"/>
    <n v="32376.95"/>
    <s v="C"/>
    <x v="5"/>
    <x v="12"/>
    <x v="1"/>
    <x v="8"/>
    <n v="7532.010000000002"/>
    <x v="8"/>
  </r>
  <r>
    <x v="1"/>
    <x v="1"/>
    <x v="29"/>
    <s v="PROVISOES"/>
    <n v="169210.16"/>
    <n v="0"/>
    <n v="61911.6"/>
    <n v="-61911.6"/>
    <n v="231121.76"/>
    <s v="C"/>
    <x v="4"/>
    <x v="0"/>
    <x v="1"/>
    <x v="9"/>
    <n v="-61911.6"/>
    <x v="9"/>
  </r>
  <r>
    <x v="1"/>
    <x v="1"/>
    <x v="30"/>
    <s v="PROVISAO PARA 13 SALARIO"/>
    <n v="0"/>
    <n v="0"/>
    <n v="18954.62"/>
    <n v="-18954.62"/>
    <n v="18954.62"/>
    <s v="C"/>
    <x v="5"/>
    <x v="13"/>
    <x v="1"/>
    <x v="9"/>
    <n v="-18954.62"/>
    <x v="9"/>
  </r>
  <r>
    <x v="1"/>
    <x v="1"/>
    <x v="31"/>
    <s v="PROVISAO PARA FERIAS"/>
    <n v="123691.83"/>
    <n v="0"/>
    <n v="26302.28"/>
    <n v="-26302.28"/>
    <n v="149994.10999999999"/>
    <s v="C"/>
    <x v="5"/>
    <x v="14"/>
    <x v="1"/>
    <x v="9"/>
    <n v="-26302.28"/>
    <x v="9"/>
  </r>
  <r>
    <x v="1"/>
    <x v="1"/>
    <x v="32"/>
    <s v="PROVISAO PARA   ENCARGOS SOCIAIS - 13 SAL"/>
    <n v="0"/>
    <n v="0"/>
    <n v="6975.38"/>
    <n v="-6975.38"/>
    <n v="6975.38"/>
    <s v="C"/>
    <x v="5"/>
    <x v="15"/>
    <x v="1"/>
    <x v="9"/>
    <n v="-6975.38"/>
    <x v="9"/>
  </r>
  <r>
    <x v="1"/>
    <x v="1"/>
    <x v="33"/>
    <s v="PROVISAO PARA   ENCARGOS SOCIAIS - FÉRIAS"/>
    <n v="45518.33"/>
    <n v="0"/>
    <n v="9679.32"/>
    <n v="-9679.32"/>
    <n v="55197.65"/>
    <s v="C"/>
    <x v="5"/>
    <x v="16"/>
    <x v="1"/>
    <x v="9"/>
    <n v="-9679.32"/>
    <x v="9"/>
  </r>
  <r>
    <x v="1"/>
    <x v="1"/>
    <x v="34"/>
    <s v="PASSIVO NAO CIRCULANTE - SAUDE"/>
    <n v="73596184.239999995"/>
    <n v="303147.5"/>
    <n v="0"/>
    <n v="303147.5"/>
    <n v="73293036.739999995"/>
    <s v="C"/>
    <x v="2"/>
    <x v="0"/>
    <x v="1"/>
    <x v="0"/>
    <s v=""/>
    <x v="0"/>
  </r>
  <r>
    <x v="1"/>
    <x v="1"/>
    <x v="35"/>
    <s v="RECEITAS DIFERIDAS - SAUDE"/>
    <n v="73596184.239999995"/>
    <n v="303147.5"/>
    <n v="0"/>
    <n v="303147.5"/>
    <n v="73293036.739999995"/>
    <s v="C"/>
    <x v="3"/>
    <x v="0"/>
    <x v="1"/>
    <x v="0"/>
    <s v=""/>
    <x v="0"/>
  </r>
  <r>
    <x v="1"/>
    <x v="1"/>
    <x v="36"/>
    <s v="RECEITAS DIFERIDAS"/>
    <n v="73596184.239999995"/>
    <n v="303147.5"/>
    <n v="0"/>
    <n v="303147.5"/>
    <n v="73293036.739999995"/>
    <s v="C"/>
    <x v="4"/>
    <x v="0"/>
    <x v="1"/>
    <x v="10"/>
    <n v="303147.5"/>
    <x v="10"/>
  </r>
  <r>
    <x v="1"/>
    <x v="1"/>
    <x v="37"/>
    <s v="SUBVENCAO   E ASSISTENCIA GOVERNAMENTAIS"/>
    <n v="73596184.239999995"/>
    <n v="303147.5"/>
    <n v="0"/>
    <n v="303147.5"/>
    <n v="73293036.739999995"/>
    <s v="C"/>
    <x v="5"/>
    <x v="17"/>
    <x v="1"/>
    <x v="10"/>
    <n v="303147.5"/>
    <x v="10"/>
  </r>
  <r>
    <x v="1"/>
    <x v="1"/>
    <x v="75"/>
    <s v="R E C E I T A S"/>
    <n v="1433646.3"/>
    <n v="0"/>
    <n v="321760.62"/>
    <n v="-321760.62"/>
    <n v="1755406.92"/>
    <s v="C"/>
    <x v="0"/>
    <x v="0"/>
    <x v="1"/>
    <x v="0"/>
    <s v=""/>
    <x v="0"/>
  </r>
  <r>
    <x v="1"/>
    <x v="1"/>
    <x v="39"/>
    <s v="RECEITAS - SAUDE"/>
    <n v="1433646.3"/>
    <n v="0"/>
    <n v="321760.62"/>
    <n v="-321760.62"/>
    <n v="1755406.92"/>
    <s v="C"/>
    <x v="1"/>
    <x v="0"/>
    <x v="1"/>
    <x v="0"/>
    <s v=""/>
    <x v="0"/>
  </r>
  <r>
    <x v="1"/>
    <x v="1"/>
    <x v="40"/>
    <s v="RECEITAS - HOSPITAIS"/>
    <n v="1433646.3"/>
    <n v="0"/>
    <n v="321760.62"/>
    <n v="-321760.62"/>
    <n v="1755406.92"/>
    <s v="C"/>
    <x v="2"/>
    <x v="0"/>
    <x v="1"/>
    <x v="0"/>
    <s v=""/>
    <x v="0"/>
  </r>
  <r>
    <x v="1"/>
    <x v="1"/>
    <x v="41"/>
    <s v="OUTRAS RECEITAS OPERACIONAIS"/>
    <n v="1404365.9"/>
    <n v="0"/>
    <n v="303147.5"/>
    <n v="-303147.5"/>
    <n v="1707513.4"/>
    <s v="C"/>
    <x v="3"/>
    <x v="0"/>
    <x v="1"/>
    <x v="0"/>
    <s v=""/>
    <x v="0"/>
  </r>
  <r>
    <x v="1"/>
    <x v="1"/>
    <x v="42"/>
    <s v="RECEITAS COM SUBVENCOES"/>
    <n v="1403815.76"/>
    <n v="0"/>
    <n v="303147.5"/>
    <n v="-303147.5"/>
    <n v="1706963.26"/>
    <s v="C"/>
    <x v="4"/>
    <x v="0"/>
    <x v="1"/>
    <x v="11"/>
    <n v="-303147.5"/>
    <x v="11"/>
  </r>
  <r>
    <x v="1"/>
    <x v="1"/>
    <x v="43"/>
    <s v="ESTADUAL"/>
    <n v="1403815.76"/>
    <n v="0"/>
    <n v="303147.5"/>
    <n v="-303147.5"/>
    <n v="1706963.26"/>
    <s v="C"/>
    <x v="5"/>
    <x v="18"/>
    <x v="1"/>
    <x v="11"/>
    <n v="-303147.5"/>
    <x v="11"/>
  </r>
  <r>
    <x v="1"/>
    <x v="1"/>
    <x v="44"/>
    <s v="RECEITAS DIVERSAS"/>
    <n v="550.14"/>
    <n v="0"/>
    <n v="0"/>
    <n v="0"/>
    <n v="550.14"/>
    <s v="C"/>
    <x v="4"/>
    <x v="0"/>
    <x v="1"/>
    <x v="12"/>
    <n v="0"/>
    <x v="12"/>
  </r>
  <r>
    <x v="1"/>
    <x v="1"/>
    <x v="45"/>
    <s v="RECUPERACAO DE DESP. C/ PESSOAL"/>
    <n v="550.14"/>
    <n v="0"/>
    <n v="0"/>
    <n v="0"/>
    <n v="550.14"/>
    <s v="C"/>
    <x v="5"/>
    <x v="19"/>
    <x v="1"/>
    <x v="12"/>
    <n v="0"/>
    <x v="12"/>
  </r>
  <r>
    <x v="1"/>
    <x v="1"/>
    <x v="46"/>
    <s v="RECEITAS FINANCEIRAS"/>
    <n v="29280.400000000001"/>
    <n v="0"/>
    <n v="18613.12"/>
    <n v="-18613.12"/>
    <n v="47893.52"/>
    <s v="C"/>
    <x v="3"/>
    <x v="0"/>
    <x v="1"/>
    <x v="0"/>
    <s v=""/>
    <x v="0"/>
  </r>
  <r>
    <x v="1"/>
    <x v="1"/>
    <x v="47"/>
    <s v="RECEITAS FINANCEIRAS"/>
    <n v="29280.400000000001"/>
    <n v="0"/>
    <n v="18613.12"/>
    <n v="-18613.12"/>
    <n v="47893.52"/>
    <s v="C"/>
    <x v="4"/>
    <x v="0"/>
    <x v="1"/>
    <x v="13"/>
    <n v="-18613.12"/>
    <x v="13"/>
  </r>
  <r>
    <x v="1"/>
    <x v="1"/>
    <x v="48"/>
    <s v="RENDIM. APLICACOES FINANCEIRAS"/>
    <n v="29280.400000000001"/>
    <n v="0"/>
    <n v="18613.12"/>
    <n v="-18613.12"/>
    <n v="47893.52"/>
    <s v="C"/>
    <x v="5"/>
    <x v="20"/>
    <x v="1"/>
    <x v="13"/>
    <n v="-18613.12"/>
    <x v="13"/>
  </r>
  <r>
    <x v="1"/>
    <x v="1"/>
    <x v="76"/>
    <s v="D E S P E S A S"/>
    <n v="1914384.36"/>
    <n v="393133.27"/>
    <n v="0"/>
    <n v="393133.27"/>
    <n v="2307517.63"/>
    <s v="D"/>
    <x v="0"/>
    <x v="0"/>
    <x v="1"/>
    <x v="0"/>
    <s v=""/>
    <x v="0"/>
  </r>
  <r>
    <x v="1"/>
    <x v="1"/>
    <x v="50"/>
    <s v="DESPESAS - SAUDE"/>
    <n v="1914384.36"/>
    <n v="393133.27"/>
    <n v="0"/>
    <n v="393133.27"/>
    <n v="2307517.63"/>
    <s v="D"/>
    <x v="1"/>
    <x v="0"/>
    <x v="1"/>
    <x v="0"/>
    <s v=""/>
    <x v="0"/>
  </r>
  <r>
    <x v="1"/>
    <x v="1"/>
    <x v="51"/>
    <s v="DESPESAS - HOSPITAIS"/>
    <n v="1914384.36"/>
    <n v="393133.27"/>
    <n v="0"/>
    <n v="393133.27"/>
    <n v="2307517.63"/>
    <s v="D"/>
    <x v="2"/>
    <x v="0"/>
    <x v="1"/>
    <x v="0"/>
    <s v=""/>
    <x v="0"/>
  </r>
  <r>
    <x v="1"/>
    <x v="1"/>
    <x v="52"/>
    <s v="CUSTOS - SAUDE"/>
    <n v="1914384.36"/>
    <n v="393133.27"/>
    <n v="0"/>
    <n v="393133.27"/>
    <n v="2307517.63"/>
    <s v="D"/>
    <x v="3"/>
    <x v="0"/>
    <x v="1"/>
    <x v="0"/>
    <s v=""/>
    <x v="0"/>
  </r>
  <r>
    <x v="1"/>
    <x v="1"/>
    <x v="53"/>
    <s v="PESSOAL SERV. PROPRIOS"/>
    <n v="1833343.02"/>
    <n v="317131.38"/>
    <n v="0"/>
    <n v="317131.38"/>
    <n v="2150474.4"/>
    <s v="D"/>
    <x v="4"/>
    <x v="0"/>
    <x v="1"/>
    <x v="14"/>
    <n v="317131.38"/>
    <x v="14"/>
  </r>
  <r>
    <x v="1"/>
    <x v="1"/>
    <x v="54"/>
    <s v="ORDENADOS"/>
    <n v="1087683.46"/>
    <n v="216359.83"/>
    <n v="0"/>
    <n v="216359.83"/>
    <n v="1304043.29"/>
    <s v="D"/>
    <x v="5"/>
    <x v="21"/>
    <x v="1"/>
    <x v="14"/>
    <n v="216359.83"/>
    <x v="14"/>
  </r>
  <r>
    <x v="1"/>
    <x v="1"/>
    <x v="55"/>
    <s v="13 SALARIO"/>
    <n v="89595.17"/>
    <n v="0"/>
    <n v="0"/>
    <n v="0"/>
    <n v="89595.17"/>
    <s v="D"/>
    <x v="5"/>
    <x v="22"/>
    <x v="1"/>
    <x v="14"/>
    <n v="0"/>
    <x v="14"/>
  </r>
  <r>
    <x v="1"/>
    <x v="1"/>
    <x v="56"/>
    <s v="FERIAS"/>
    <n v="124043.7"/>
    <n v="0"/>
    <n v="0"/>
    <n v="0"/>
    <n v="124043.7"/>
    <s v="D"/>
    <x v="5"/>
    <x v="23"/>
    <x v="1"/>
    <x v="14"/>
    <n v="0"/>
    <x v="14"/>
  </r>
  <r>
    <x v="1"/>
    <x v="1"/>
    <x v="57"/>
    <s v="INDENIZACAO E AVISOS PREVIOS"/>
    <n v="837.4"/>
    <n v="0"/>
    <n v="0"/>
    <n v="0"/>
    <n v="837.4"/>
    <s v="D"/>
    <x v="5"/>
    <x v="24"/>
    <x v="1"/>
    <x v="14"/>
    <n v="0"/>
    <x v="14"/>
  </r>
  <r>
    <x v="1"/>
    <x v="1"/>
    <x v="58"/>
    <s v="CONTRIBUICOES AO FGTS"/>
    <n v="105046.15"/>
    <n v="17308.59"/>
    <n v="0"/>
    <n v="17308.59"/>
    <n v="122354.74"/>
    <s v="D"/>
    <x v="5"/>
    <x v="25"/>
    <x v="1"/>
    <x v="14"/>
    <n v="17308.59"/>
    <x v="14"/>
  </r>
  <r>
    <x v="1"/>
    <x v="1"/>
    <x v="59"/>
    <s v="CONTRIBUICOES AO PIS"/>
    <n v="13009.69"/>
    <n v="2163.5700000000002"/>
    <n v="0"/>
    <n v="2163.5700000000002"/>
    <n v="15173.26"/>
    <s v="D"/>
    <x v="5"/>
    <x v="26"/>
    <x v="1"/>
    <x v="14"/>
    <n v="2163.5700000000002"/>
    <x v="14"/>
  </r>
  <r>
    <x v="1"/>
    <x v="1"/>
    <x v="60"/>
    <s v="VALE TRANSPORTE"/>
    <n v="1170"/>
    <n v="408"/>
    <n v="0"/>
    <n v="408"/>
    <n v="1578"/>
    <s v="D"/>
    <x v="5"/>
    <x v="27"/>
    <x v="1"/>
    <x v="14"/>
    <n v="408"/>
    <x v="14"/>
  </r>
  <r>
    <x v="1"/>
    <x v="1"/>
    <x v="61"/>
    <s v="CONTRIBUICAO PATRONAL - INSS"/>
    <n v="260197.18"/>
    <n v="43271.98"/>
    <n v="0"/>
    <n v="43271.98"/>
    <n v="303469.15999999997"/>
    <s v="D"/>
    <x v="5"/>
    <x v="28"/>
    <x v="1"/>
    <x v="14"/>
    <n v="43271.98"/>
    <x v="14"/>
  </r>
  <r>
    <x v="1"/>
    <x v="1"/>
    <x v="62"/>
    <s v="GRATIFICACOES"/>
    <n v="41889.18"/>
    <n v="11723.41"/>
    <n v="0"/>
    <n v="11723.41"/>
    <n v="53612.59"/>
    <s v="D"/>
    <x v="5"/>
    <x v="29"/>
    <x v="1"/>
    <x v="14"/>
    <n v="11723.41"/>
    <x v="14"/>
  </r>
  <r>
    <x v="1"/>
    <x v="1"/>
    <x v="63"/>
    <s v="SEGURO ACIDENTE DE TRABALHO"/>
    <n v="26019.599999999999"/>
    <n v="4327.18"/>
    <n v="0"/>
    <n v="4327.18"/>
    <n v="30346.78"/>
    <s v="D"/>
    <x v="5"/>
    <x v="30"/>
    <x v="1"/>
    <x v="14"/>
    <n v="4327.18"/>
    <x v="14"/>
  </r>
  <r>
    <x v="1"/>
    <x v="1"/>
    <x v="64"/>
    <s v="COTA TERCEIROS ( SESC, SENAC, INCRA )"/>
    <n v="75451.490000000005"/>
    <n v="12548.82"/>
    <n v="0"/>
    <n v="12548.82"/>
    <n v="88000.31"/>
    <s v="D"/>
    <x v="5"/>
    <x v="31"/>
    <x v="1"/>
    <x v="14"/>
    <n v="12548.82"/>
    <x v="14"/>
  </r>
  <r>
    <x v="1"/>
    <x v="1"/>
    <x v="65"/>
    <s v="VALE REFEICAO"/>
    <n v="8400"/>
    <n v="9020"/>
    <n v="0"/>
    <n v="9020"/>
    <n v="17420"/>
    <s v="D"/>
    <x v="5"/>
    <x v="32"/>
    <x v="1"/>
    <x v="14"/>
    <n v="9020"/>
    <x v="14"/>
  </r>
  <r>
    <x v="1"/>
    <x v="1"/>
    <x v="66"/>
    <s v="PESSOAL SERVICOS TERCEIROS"/>
    <n v="2852.6"/>
    <n v="0"/>
    <n v="0"/>
    <n v="0"/>
    <n v="2852.6"/>
    <s v="D"/>
    <x v="4"/>
    <x v="0"/>
    <x v="1"/>
    <x v="15"/>
    <n v="0"/>
    <x v="15"/>
  </r>
  <r>
    <x v="1"/>
    <x v="1"/>
    <x v="67"/>
    <s v="ASSESSORIA EMPRESARIAL E SERVIÇOS ADMINI"/>
    <n v="2852.6"/>
    <n v="0"/>
    <n v="0"/>
    <n v="0"/>
    <n v="2852.6"/>
    <s v="D"/>
    <x v="5"/>
    <x v="33"/>
    <x v="1"/>
    <x v="15"/>
    <n v="0"/>
    <x v="15"/>
  </r>
  <r>
    <x v="1"/>
    <x v="1"/>
    <x v="68"/>
    <s v="GERAIS"/>
    <n v="75612.91"/>
    <n v="6976.34"/>
    <n v="0"/>
    <n v="6976.34"/>
    <n v="82589.25"/>
    <s v="D"/>
    <x v="4"/>
    <x v="0"/>
    <x v="1"/>
    <x v="16"/>
    <n v="6976.34"/>
    <x v="16"/>
  </r>
  <r>
    <x v="1"/>
    <x v="1"/>
    <x v="69"/>
    <s v="ANUNCIOS E PUBLICIDADES"/>
    <n v="236.98"/>
    <n v="1019.03"/>
    <n v="0"/>
    <n v="1019.03"/>
    <n v="1256.01"/>
    <s v="D"/>
    <x v="5"/>
    <x v="34"/>
    <x v="1"/>
    <x v="16"/>
    <n v="1019.03"/>
    <x v="16"/>
  </r>
  <r>
    <x v="1"/>
    <x v="1"/>
    <x v="70"/>
    <s v="REMUNERACAO DE SERVIDORES CEDIDOS"/>
    <n v="62513.16"/>
    <n v="5957.31"/>
    <n v="0"/>
    <n v="5957.31"/>
    <n v="68470.47"/>
    <s v="D"/>
    <x v="5"/>
    <x v="35"/>
    <x v="1"/>
    <x v="16"/>
    <n v="5957.31"/>
    <x v="16"/>
  </r>
  <r>
    <x v="1"/>
    <x v="1"/>
    <x v="71"/>
    <s v="CONTRIBUICAO PREVIDENCIARIA S/ SERVIDORES CEDIDOS"/>
    <n v="12862.77"/>
    <n v="0"/>
    <n v="0"/>
    <n v="0"/>
    <n v="12862.77"/>
    <s v="D"/>
    <x v="5"/>
    <x v="36"/>
    <x v="1"/>
    <x v="16"/>
    <n v="0"/>
    <x v="16"/>
  </r>
  <r>
    <x v="1"/>
    <x v="1"/>
    <x v="77"/>
    <s v="PROV. PARA      CUSTOS DO EXERCICIO"/>
    <n v="0"/>
    <n v="61911.6"/>
    <n v="0"/>
    <n v="61911.6"/>
    <n v="61911.6"/>
    <s v="D"/>
    <x v="4"/>
    <x v="0"/>
    <x v="1"/>
    <x v="18"/>
    <n v="61911.6"/>
    <x v="18"/>
  </r>
  <r>
    <x v="1"/>
    <x v="1"/>
    <x v="78"/>
    <s v="13 SALARIO"/>
    <n v="0"/>
    <n v="18954.62"/>
    <n v="0"/>
    <n v="18954.62"/>
    <n v="18954.62"/>
    <s v="D"/>
    <x v="5"/>
    <x v="22"/>
    <x v="1"/>
    <x v="18"/>
    <n v="18954.62"/>
    <x v="18"/>
  </r>
  <r>
    <x v="1"/>
    <x v="1"/>
    <x v="79"/>
    <s v="FERIAS"/>
    <n v="0"/>
    <n v="26302.28"/>
    <n v="0"/>
    <n v="26302.28"/>
    <n v="26302.28"/>
    <s v="D"/>
    <x v="5"/>
    <x v="23"/>
    <x v="1"/>
    <x v="18"/>
    <n v="26302.28"/>
    <x v="18"/>
  </r>
  <r>
    <x v="1"/>
    <x v="1"/>
    <x v="80"/>
    <s v="ENCARGOS SOCIAIS - 13º SALARIO"/>
    <n v="0"/>
    <n v="6975.38"/>
    <n v="0"/>
    <n v="6975.38"/>
    <n v="6975.38"/>
    <s v="D"/>
    <x v="5"/>
    <x v="39"/>
    <x v="1"/>
    <x v="18"/>
    <n v="6975.38"/>
    <x v="18"/>
  </r>
  <r>
    <x v="1"/>
    <x v="1"/>
    <x v="81"/>
    <s v="ENCARGOS SOCIAIS - FÉRIAS"/>
    <n v="0"/>
    <n v="9679.32"/>
    <n v="0"/>
    <n v="9679.32"/>
    <n v="9679.32"/>
    <s v="D"/>
    <x v="5"/>
    <x v="40"/>
    <x v="1"/>
    <x v="18"/>
    <n v="9679.32"/>
    <x v="18"/>
  </r>
  <r>
    <x v="1"/>
    <x v="1"/>
    <x v="72"/>
    <s v="IMPOSTOS, TAXAS E CONTRIBUICOES"/>
    <n v="2575.83"/>
    <n v="0"/>
    <n v="0"/>
    <n v="0"/>
    <n v="2575.83"/>
    <s v="D"/>
    <x v="4"/>
    <x v="0"/>
    <x v="1"/>
    <x v="17"/>
    <n v="0"/>
    <x v="17"/>
  </r>
  <r>
    <x v="1"/>
    <x v="1"/>
    <x v="73"/>
    <s v="MULTAS"/>
    <n v="2575.83"/>
    <n v="0"/>
    <n v="0"/>
    <n v="0"/>
    <n v="2575.83"/>
    <s v="D"/>
    <x v="5"/>
    <x v="37"/>
    <x v="1"/>
    <x v="17"/>
    <n v="0"/>
    <x v="17"/>
  </r>
  <r>
    <x v="1"/>
    <x v="1"/>
    <x v="82"/>
    <s v="DESPESAS FINANCEIRAS"/>
    <n v="0"/>
    <n v="7113.95"/>
    <n v="0"/>
    <n v="7113.95"/>
    <n v="7113.95"/>
    <s v="D"/>
    <x v="4"/>
    <x v="0"/>
    <x v="1"/>
    <x v="19"/>
    <n v="7113.95"/>
    <x v="19"/>
  </r>
  <r>
    <x v="1"/>
    <x v="1"/>
    <x v="83"/>
    <s v="JUROS E CORRECAO MONETARIA"/>
    <n v="0"/>
    <n v="7113.95"/>
    <n v="0"/>
    <n v="7113.95"/>
    <n v="7113.95"/>
    <s v="D"/>
    <x v="5"/>
    <x v="41"/>
    <x v="1"/>
    <x v="19"/>
    <n v="7113.95"/>
    <x v="19"/>
  </r>
  <r>
    <x v="1"/>
    <x v="2"/>
    <x v="0"/>
    <s v="ATIVO"/>
    <n v="73353436.870000005"/>
    <n v="442038.7"/>
    <n v="851474.3"/>
    <n v="-409435.60000000003"/>
    <n v="72944001.269999996"/>
    <s v="D"/>
    <x v="0"/>
    <x v="0"/>
    <x v="2"/>
    <x v="0"/>
    <s v=""/>
    <x v="0"/>
  </r>
  <r>
    <x v="1"/>
    <x v="2"/>
    <x v="1"/>
    <s v="ATIVO CIRCULANTE"/>
    <n v="73353436.870000005"/>
    <n v="442038.7"/>
    <n v="851474.3"/>
    <n v="-409435.60000000003"/>
    <n v="72944001.269999996"/>
    <s v="D"/>
    <x v="1"/>
    <x v="0"/>
    <x v="2"/>
    <x v="0"/>
    <s v=""/>
    <x v="0"/>
  </r>
  <r>
    <x v="1"/>
    <x v="2"/>
    <x v="2"/>
    <s v="ATIVO CIRCULANTE - SAUDE"/>
    <n v="73353436.870000005"/>
    <n v="442038.7"/>
    <n v="851474.3"/>
    <n v="-409435.60000000003"/>
    <n v="72944001.269999996"/>
    <s v="D"/>
    <x v="2"/>
    <x v="0"/>
    <x v="2"/>
    <x v="0"/>
    <s v=""/>
    <x v="0"/>
  </r>
  <r>
    <x v="1"/>
    <x v="2"/>
    <x v="3"/>
    <s v="DISPONIVEL - SAUDE"/>
    <n v="12349474.119999999"/>
    <n v="442038.7"/>
    <n v="851474.3"/>
    <n v="-409435.60000000003"/>
    <n v="11940038.52"/>
    <s v="D"/>
    <x v="3"/>
    <x v="0"/>
    <x v="2"/>
    <x v="0"/>
    <s v=""/>
    <x v="0"/>
  </r>
  <r>
    <x v="1"/>
    <x v="2"/>
    <x v="4"/>
    <s v="BANCOS C/MOVIMENTO - SAUDE"/>
    <n v="0"/>
    <n v="425737.15"/>
    <n v="425737.15"/>
    <n v="0"/>
    <n v="0"/>
    <s v="D"/>
    <x v="4"/>
    <x v="0"/>
    <x v="2"/>
    <x v="1"/>
    <n v="0"/>
    <x v="1"/>
  </r>
  <r>
    <x v="1"/>
    <x v="2"/>
    <x v="84"/>
    <s v="BANCO DO ESTADO DO ESPIRITO SANTO C.C. 3083935-1"/>
    <n v="0"/>
    <n v="425737.15"/>
    <n v="425737.15"/>
    <n v="0"/>
    <n v="0"/>
    <s v="D"/>
    <x v="5"/>
    <x v="2"/>
    <x v="2"/>
    <x v="1"/>
    <n v="0"/>
    <x v="1"/>
  </r>
  <r>
    <x v="1"/>
    <x v="2"/>
    <x v="6"/>
    <s v="APLICACOES FINANCEIRAS DE LIQUIDEZ IMEDIATA"/>
    <n v="12349474.119999999"/>
    <n v="16301.55"/>
    <n v="425737.15"/>
    <n v="-409435.60000000003"/>
    <n v="11940038.52"/>
    <s v="D"/>
    <x v="4"/>
    <x v="0"/>
    <x v="2"/>
    <x v="2"/>
    <n v="-409435.60000000003"/>
    <x v="2"/>
  </r>
  <r>
    <x v="1"/>
    <x v="2"/>
    <x v="7"/>
    <s v="BANCO DO ESTADO DO ESPIRITO SANTO C.C. 3083935-1"/>
    <n v="12349474.119999999"/>
    <n v="16301.55"/>
    <n v="425737.15"/>
    <n v="-409435.60000000003"/>
    <n v="11940038.52"/>
    <s v="D"/>
    <x v="5"/>
    <x v="2"/>
    <x v="2"/>
    <x v="2"/>
    <n v="-409435.60000000003"/>
    <x v="2"/>
  </r>
  <r>
    <x v="1"/>
    <x v="2"/>
    <x v="8"/>
    <s v="CREDITOS - SAUDE"/>
    <n v="61003962.75"/>
    <n v="0"/>
    <n v="0"/>
    <n v="0"/>
    <n v="61003962.75"/>
    <s v="D"/>
    <x v="3"/>
    <x v="0"/>
    <x v="2"/>
    <x v="0"/>
    <s v=""/>
    <x v="0"/>
  </r>
  <r>
    <x v="1"/>
    <x v="2"/>
    <x v="9"/>
    <s v="CREDITOS DE FUNCIONARIOS"/>
    <n v="3277.43"/>
    <n v="0"/>
    <n v="0"/>
    <n v="0"/>
    <n v="3277.43"/>
    <s v="D"/>
    <x v="4"/>
    <x v="0"/>
    <x v="2"/>
    <x v="3"/>
    <n v="0"/>
    <x v="3"/>
  </r>
  <r>
    <x v="1"/>
    <x v="2"/>
    <x v="74"/>
    <s v="OUTROS ADIANTAMENTOS A FUNCIONARIOS"/>
    <n v="3277.43"/>
    <n v="0"/>
    <n v="0"/>
    <n v="0"/>
    <n v="3277.43"/>
    <s v="D"/>
    <x v="5"/>
    <x v="38"/>
    <x v="2"/>
    <x v="3"/>
    <n v="0"/>
    <x v="3"/>
  </r>
  <r>
    <x v="1"/>
    <x v="2"/>
    <x v="11"/>
    <s v="OUTROS CREDITOS"/>
    <n v="61000000"/>
    <n v="0"/>
    <n v="0"/>
    <n v="0"/>
    <n v="61000000"/>
    <s v="D"/>
    <x v="4"/>
    <x v="0"/>
    <x v="2"/>
    <x v="4"/>
    <n v="0"/>
    <x v="4"/>
  </r>
  <r>
    <x v="1"/>
    <x v="2"/>
    <x v="12"/>
    <s v="SUBVENCAO E ASSISTENCIA GOVERNAMENTAIS A"/>
    <n v="61000000"/>
    <n v="0"/>
    <n v="0"/>
    <n v="0"/>
    <n v="61000000"/>
    <s v="D"/>
    <x v="5"/>
    <x v="4"/>
    <x v="2"/>
    <x v="4"/>
    <n v="0"/>
    <x v="4"/>
  </r>
  <r>
    <x v="1"/>
    <x v="2"/>
    <x v="13"/>
    <s v="IMPOSTOS A RECUPERAR"/>
    <n v="685.32"/>
    <n v="0"/>
    <n v="0"/>
    <n v="0"/>
    <n v="685.32"/>
    <s v="D"/>
    <x v="4"/>
    <x v="0"/>
    <x v="2"/>
    <x v="5"/>
    <n v="0"/>
    <x v="5"/>
  </r>
  <r>
    <x v="1"/>
    <x v="2"/>
    <x v="14"/>
    <s v="IRRF A RECUPERAR"/>
    <n v="251.35"/>
    <n v="0"/>
    <n v="0"/>
    <n v="0"/>
    <n v="251.35"/>
    <s v="D"/>
    <x v="5"/>
    <x v="5"/>
    <x v="2"/>
    <x v="5"/>
    <n v="0"/>
    <x v="5"/>
  </r>
  <r>
    <x v="1"/>
    <x v="2"/>
    <x v="15"/>
    <s v="IRRF RETIDO S/ APLICACAO FINANCEIRA"/>
    <n v="433.97"/>
    <n v="0"/>
    <n v="0"/>
    <n v="0"/>
    <n v="433.97"/>
    <s v="D"/>
    <x v="5"/>
    <x v="6"/>
    <x v="2"/>
    <x v="5"/>
    <n v="0"/>
    <x v="5"/>
  </r>
  <r>
    <x v="1"/>
    <x v="2"/>
    <x v="16"/>
    <s v="P A S S I V O"/>
    <n v="73408761.25"/>
    <n v="795068.57"/>
    <n v="423374.16"/>
    <n v="371694.41"/>
    <n v="73037066.840000004"/>
    <s v="C"/>
    <x v="0"/>
    <x v="0"/>
    <x v="2"/>
    <x v="0"/>
    <s v=""/>
    <x v="0"/>
  </r>
  <r>
    <x v="1"/>
    <x v="2"/>
    <x v="17"/>
    <s v="PASSIVO CIRCULANTE"/>
    <n v="73408761.25"/>
    <n v="795068.57"/>
    <n v="423374.16"/>
    <n v="371694.41"/>
    <n v="73037066.840000004"/>
    <s v="C"/>
    <x v="1"/>
    <x v="0"/>
    <x v="2"/>
    <x v="0"/>
    <s v=""/>
    <x v="0"/>
  </r>
  <r>
    <x v="1"/>
    <x v="2"/>
    <x v="18"/>
    <s v="PASSIVO CIRCULANTE - SAUDE"/>
    <n v="612511.04"/>
    <n v="369331.42"/>
    <n v="423374.16"/>
    <n v="-54042.739999999991"/>
    <n v="666553.78"/>
    <s v="C"/>
    <x v="2"/>
    <x v="0"/>
    <x v="2"/>
    <x v="0"/>
    <s v=""/>
    <x v="0"/>
  </r>
  <r>
    <x v="1"/>
    <x v="2"/>
    <x v="19"/>
    <s v="OBRIGACOES - SAUDE"/>
    <n v="612511.04"/>
    <n v="369331.42"/>
    <n v="423374.16"/>
    <n v="-54042.739999999991"/>
    <n v="666553.78"/>
    <s v="C"/>
    <x v="3"/>
    <x v="0"/>
    <x v="2"/>
    <x v="0"/>
    <s v=""/>
    <x v="0"/>
  </r>
  <r>
    <x v="1"/>
    <x v="2"/>
    <x v="20"/>
    <s v="OBRIGACOES TRABALHISTAS"/>
    <n v="186468.68"/>
    <n v="239163.43"/>
    <n v="241215.28"/>
    <n v="-2051.8500000000058"/>
    <n v="188520.53"/>
    <s v="C"/>
    <x v="4"/>
    <x v="0"/>
    <x v="2"/>
    <x v="6"/>
    <n v="-2051.8500000000058"/>
    <x v="6"/>
  </r>
  <r>
    <x v="1"/>
    <x v="2"/>
    <x v="21"/>
    <s v="ORDENADOS A PAGAR"/>
    <n v="186468.68"/>
    <n v="239163.43"/>
    <n v="241079.17"/>
    <n v="-1915.7400000000198"/>
    <n v="188384.42"/>
    <s v="C"/>
    <x v="5"/>
    <x v="7"/>
    <x v="2"/>
    <x v="6"/>
    <n v="-1915.7400000000198"/>
    <x v="6"/>
  </r>
  <r>
    <x v="1"/>
    <x v="2"/>
    <x v="22"/>
    <s v="RESCISOES A PAGAR"/>
    <n v="0"/>
    <n v="0"/>
    <n v="136.11000000000001"/>
    <n v="-136.11000000000001"/>
    <n v="136.11000000000001"/>
    <s v="C"/>
    <x v="5"/>
    <x v="8"/>
    <x v="2"/>
    <x v="6"/>
    <n v="-136.11000000000001"/>
    <x v="6"/>
  </r>
  <r>
    <x v="1"/>
    <x v="2"/>
    <x v="23"/>
    <s v="OBRIGACOES SOCIAIS"/>
    <n v="162543.65"/>
    <n v="97543.97"/>
    <n v="98167.33"/>
    <n v="-623.36000000000058"/>
    <n v="163167.01"/>
    <s v="C"/>
    <x v="4"/>
    <x v="0"/>
    <x v="2"/>
    <x v="7"/>
    <n v="-623.36000000000058"/>
    <x v="7"/>
  </r>
  <r>
    <x v="1"/>
    <x v="2"/>
    <x v="24"/>
    <s v="F.G.T.S. A RECOLHER"/>
    <n v="24455.03"/>
    <n v="17308.78"/>
    <n v="17398.78"/>
    <n v="-90"/>
    <n v="24545.03"/>
    <s v="C"/>
    <x v="5"/>
    <x v="9"/>
    <x v="2"/>
    <x v="7"/>
    <n v="-90"/>
    <x v="7"/>
  </r>
  <r>
    <x v="1"/>
    <x v="2"/>
    <x v="25"/>
    <s v="I.N.S.S. A RECOLHER FUNCIONARIOS"/>
    <n v="134471.71"/>
    <n v="78071.62"/>
    <n v="78593.72"/>
    <n v="-522.10000000000582"/>
    <n v="134993.81"/>
    <s v="C"/>
    <x v="5"/>
    <x v="10"/>
    <x v="2"/>
    <x v="7"/>
    <n v="-522.10000000000582"/>
    <x v="7"/>
  </r>
  <r>
    <x v="1"/>
    <x v="2"/>
    <x v="26"/>
    <s v="P.I.S. A RECOLHER"/>
    <n v="3616.91"/>
    <n v="2163.5700000000002"/>
    <n v="2174.83"/>
    <n v="-11.259999999999764"/>
    <n v="3628.17"/>
    <s v="C"/>
    <x v="5"/>
    <x v="11"/>
    <x v="2"/>
    <x v="7"/>
    <n v="-11.259999999999764"/>
    <x v="7"/>
  </r>
  <r>
    <x v="1"/>
    <x v="2"/>
    <x v="27"/>
    <s v="OBRIGACOES FISCAIS"/>
    <n v="32376.95"/>
    <n v="31107.88"/>
    <n v="32928.9"/>
    <n v="-1821.0200000000004"/>
    <n v="34197.97"/>
    <s v="C"/>
    <x v="4"/>
    <x v="0"/>
    <x v="2"/>
    <x v="8"/>
    <n v="-1821.0200000000004"/>
    <x v="8"/>
  </r>
  <r>
    <x v="1"/>
    <x v="2"/>
    <x v="28"/>
    <s v="I.R.R.F RETIDO S/FOLHA PAGAMENTO"/>
    <n v="32376.95"/>
    <n v="31107.88"/>
    <n v="32928.9"/>
    <n v="-1821.0200000000004"/>
    <n v="34197.97"/>
    <s v="C"/>
    <x v="5"/>
    <x v="12"/>
    <x v="2"/>
    <x v="8"/>
    <n v="-1821.0200000000004"/>
    <x v="8"/>
  </r>
  <r>
    <x v="1"/>
    <x v="2"/>
    <x v="29"/>
    <s v="PROVISOES"/>
    <n v="231121.76"/>
    <n v="1516.14"/>
    <n v="51062.65"/>
    <n v="-49546.51"/>
    <n v="280668.27"/>
    <s v="C"/>
    <x v="4"/>
    <x v="0"/>
    <x v="2"/>
    <x v="9"/>
    <n v="-49546.51"/>
    <x v="9"/>
  </r>
  <r>
    <x v="1"/>
    <x v="2"/>
    <x v="30"/>
    <s v="PROVISAO PARA 13 SALARIO"/>
    <n v="18954.62"/>
    <n v="467.98"/>
    <n v="18975.849999999999"/>
    <n v="-18507.87"/>
    <n v="37462.49"/>
    <s v="C"/>
    <x v="5"/>
    <x v="13"/>
    <x v="2"/>
    <x v="9"/>
    <n v="-18507.87"/>
    <x v="9"/>
  </r>
  <r>
    <x v="1"/>
    <x v="2"/>
    <x v="31"/>
    <s v="PROVISAO PARA FERIAS"/>
    <n v="149994.10999999999"/>
    <n v="646.33000000000004"/>
    <n v="18356.810000000001"/>
    <n v="-17710.48"/>
    <n v="167704.59"/>
    <s v="C"/>
    <x v="5"/>
    <x v="14"/>
    <x v="2"/>
    <x v="9"/>
    <n v="-17710.48"/>
    <x v="9"/>
  </r>
  <r>
    <x v="1"/>
    <x v="2"/>
    <x v="32"/>
    <s v="PROVISAO PARA   ENCARGOS SOCIAIS - 13 SAL"/>
    <n v="6975.38"/>
    <n v="172.22"/>
    <n v="6982.88"/>
    <n v="-6810.66"/>
    <n v="13786.04"/>
    <s v="C"/>
    <x v="5"/>
    <x v="15"/>
    <x v="2"/>
    <x v="9"/>
    <n v="-6810.66"/>
    <x v="9"/>
  </r>
  <r>
    <x v="1"/>
    <x v="2"/>
    <x v="33"/>
    <s v="PROVISAO PARA   ENCARGOS SOCIAIS - FÉRIAS"/>
    <n v="55197.65"/>
    <n v="229.61"/>
    <n v="6747.11"/>
    <n v="-6517.5"/>
    <n v="61715.15"/>
    <s v="C"/>
    <x v="5"/>
    <x v="16"/>
    <x v="2"/>
    <x v="9"/>
    <n v="-6517.5"/>
    <x v="9"/>
  </r>
  <r>
    <x v="1"/>
    <x v="2"/>
    <x v="34"/>
    <s v="PASSIVO NAO CIRCULANTE - SAUDE"/>
    <n v="73302014.569999993"/>
    <n v="425737.15"/>
    <n v="0"/>
    <n v="425737.15"/>
    <n v="72876277.420000002"/>
    <s v="C"/>
    <x v="2"/>
    <x v="0"/>
    <x v="2"/>
    <x v="0"/>
    <s v=""/>
    <x v="0"/>
  </r>
  <r>
    <x v="1"/>
    <x v="2"/>
    <x v="35"/>
    <s v="RECEITAS DIFERIDAS - SAUDE"/>
    <n v="73302014.569999993"/>
    <n v="425737.15"/>
    <n v="0"/>
    <n v="425737.15"/>
    <n v="72876277.420000002"/>
    <s v="C"/>
    <x v="3"/>
    <x v="0"/>
    <x v="2"/>
    <x v="0"/>
    <s v=""/>
    <x v="0"/>
  </r>
  <r>
    <x v="1"/>
    <x v="2"/>
    <x v="36"/>
    <s v="RECEITAS DIFERIDAS"/>
    <n v="73302014.569999993"/>
    <n v="425737.15"/>
    <n v="0"/>
    <n v="425737.15"/>
    <n v="72876277.420000002"/>
    <s v="C"/>
    <x v="4"/>
    <x v="0"/>
    <x v="2"/>
    <x v="10"/>
    <n v="425737.15"/>
    <x v="10"/>
  </r>
  <r>
    <x v="1"/>
    <x v="2"/>
    <x v="37"/>
    <s v="SUBVENCAO   E ASSISTENCIA GOVERNAMENTAIS"/>
    <n v="73302014.569999993"/>
    <n v="425737.15"/>
    <n v="0"/>
    <n v="425737.15"/>
    <n v="72876277.420000002"/>
    <s v="C"/>
    <x v="5"/>
    <x v="17"/>
    <x v="2"/>
    <x v="10"/>
    <n v="425737.15"/>
    <x v="10"/>
  </r>
  <r>
    <x v="1"/>
    <x v="2"/>
    <x v="85"/>
    <s v="PATRIMONIO - SAUDE"/>
    <n v="505764.36"/>
    <n v="0"/>
    <n v="0"/>
    <n v="0"/>
    <n v="505764.36"/>
    <s v="D"/>
    <x v="2"/>
    <x v="0"/>
    <x v="2"/>
    <x v="0"/>
    <s v=""/>
    <x v="0"/>
  </r>
  <r>
    <x v="1"/>
    <x v="2"/>
    <x v="86"/>
    <s v="PATRIMONIO LIQUIDO - SAUDE"/>
    <n v="505764.36"/>
    <n v="0"/>
    <n v="0"/>
    <n v="0"/>
    <n v="505764.36"/>
    <s v="D"/>
    <x v="3"/>
    <x v="0"/>
    <x v="2"/>
    <x v="0"/>
    <s v=""/>
    <x v="0"/>
  </r>
  <r>
    <x v="1"/>
    <x v="2"/>
    <x v="87"/>
    <s v="PATRIMONIO LIQUIDO"/>
    <n v="505764.36"/>
    <n v="0"/>
    <n v="0"/>
    <n v="0"/>
    <n v="505764.36"/>
    <s v="D"/>
    <x v="4"/>
    <x v="0"/>
    <x v="2"/>
    <x v="20"/>
    <n v="0"/>
    <x v="20"/>
  </r>
  <r>
    <x v="1"/>
    <x v="2"/>
    <x v="88"/>
    <s v="RESULTADO DO EXERCICIO SUPERAVIT/DEFICIT"/>
    <n v="505764.36"/>
    <n v="0"/>
    <n v="0"/>
    <n v="0"/>
    <n v="505764.36"/>
    <s v="D"/>
    <x v="5"/>
    <x v="42"/>
    <x v="2"/>
    <x v="20"/>
    <n v="0"/>
    <x v="20"/>
  </r>
  <r>
    <x v="1"/>
    <x v="2"/>
    <x v="38"/>
    <s v="R E C E I T A S"/>
    <n v="337809.09"/>
    <n v="0"/>
    <n v="443536.22"/>
    <n v="-443536.22"/>
    <n v="781345.31"/>
    <s v="C"/>
    <x v="0"/>
    <x v="0"/>
    <x v="2"/>
    <x v="0"/>
    <s v=""/>
    <x v="0"/>
  </r>
  <r>
    <x v="1"/>
    <x v="2"/>
    <x v="39"/>
    <s v="RECEITAS - SAUDE"/>
    <n v="337809.09"/>
    <n v="0"/>
    <n v="443536.22"/>
    <n v="-443536.22"/>
    <n v="781345.31"/>
    <s v="C"/>
    <x v="1"/>
    <x v="0"/>
    <x v="2"/>
    <x v="0"/>
    <s v=""/>
    <x v="0"/>
  </r>
  <r>
    <x v="1"/>
    <x v="2"/>
    <x v="40"/>
    <s v="RECEITAS - HOSPITAIS"/>
    <n v="337809.09"/>
    <n v="0"/>
    <n v="443536.22"/>
    <n v="-443536.22"/>
    <n v="781345.31"/>
    <s v="C"/>
    <x v="2"/>
    <x v="0"/>
    <x v="2"/>
    <x v="0"/>
    <s v=""/>
    <x v="0"/>
  </r>
  <r>
    <x v="1"/>
    <x v="2"/>
    <x v="41"/>
    <s v="OUTRAS RECEITAS OPERACIONAIS"/>
    <n v="319195.96999999997"/>
    <n v="0"/>
    <n v="427234.67"/>
    <n v="-427234.67"/>
    <n v="746430.64"/>
    <s v="C"/>
    <x v="3"/>
    <x v="0"/>
    <x v="2"/>
    <x v="0"/>
    <s v=""/>
    <x v="0"/>
  </r>
  <r>
    <x v="1"/>
    <x v="2"/>
    <x v="42"/>
    <s v="RECEITAS COM SUBVENCOES"/>
    <n v="319195.96999999997"/>
    <n v="0"/>
    <n v="425737.15"/>
    <n v="-425737.15"/>
    <n v="744933.12"/>
    <s v="C"/>
    <x v="4"/>
    <x v="0"/>
    <x v="2"/>
    <x v="11"/>
    <n v="-425737.15"/>
    <x v="11"/>
  </r>
  <r>
    <x v="1"/>
    <x v="2"/>
    <x v="43"/>
    <s v="ESTADUAL"/>
    <n v="319195.96999999997"/>
    <n v="0"/>
    <n v="425737.15"/>
    <n v="-425737.15"/>
    <n v="744933.12"/>
    <s v="C"/>
    <x v="5"/>
    <x v="18"/>
    <x v="2"/>
    <x v="11"/>
    <n v="-425737.15"/>
    <x v="11"/>
  </r>
  <r>
    <x v="1"/>
    <x v="2"/>
    <x v="44"/>
    <s v="RECEITAS DIVERSAS"/>
    <n v="0"/>
    <n v="0"/>
    <n v="1497.52"/>
    <n v="-1497.52"/>
    <n v="1497.52"/>
    <s v="C"/>
    <x v="4"/>
    <x v="0"/>
    <x v="2"/>
    <x v="12"/>
    <n v="-1497.52"/>
    <x v="12"/>
  </r>
  <r>
    <x v="1"/>
    <x v="2"/>
    <x v="45"/>
    <s v="RECUPERACAO DE DESP. C/ PESSOAL"/>
    <n v="0"/>
    <n v="0"/>
    <n v="1497.52"/>
    <n v="-1497.52"/>
    <n v="1497.52"/>
    <s v="C"/>
    <x v="5"/>
    <x v="19"/>
    <x v="2"/>
    <x v="12"/>
    <n v="-1497.52"/>
    <x v="12"/>
  </r>
  <r>
    <x v="1"/>
    <x v="2"/>
    <x v="46"/>
    <s v="RECEITAS FINANCEIRAS"/>
    <n v="18613.12"/>
    <n v="0"/>
    <n v="16301.55"/>
    <n v="-16301.55"/>
    <n v="34914.67"/>
    <s v="C"/>
    <x v="3"/>
    <x v="0"/>
    <x v="2"/>
    <x v="0"/>
    <s v=""/>
    <x v="0"/>
  </r>
  <r>
    <x v="1"/>
    <x v="2"/>
    <x v="47"/>
    <s v="RECEITAS FINANCEIRAS"/>
    <n v="18613.12"/>
    <n v="0"/>
    <n v="16301.55"/>
    <n v="-16301.55"/>
    <n v="34914.67"/>
    <s v="C"/>
    <x v="4"/>
    <x v="0"/>
    <x v="2"/>
    <x v="13"/>
    <n v="-16301.55"/>
    <x v="13"/>
  </r>
  <r>
    <x v="1"/>
    <x v="2"/>
    <x v="48"/>
    <s v="RENDIM. APLICACOES FINANCEIRAS"/>
    <n v="18613.12"/>
    <n v="0"/>
    <n v="16301.55"/>
    <n v="-16301.55"/>
    <n v="34914.67"/>
    <s v="C"/>
    <x v="5"/>
    <x v="20"/>
    <x v="2"/>
    <x v="13"/>
    <n v="-16301.55"/>
    <x v="13"/>
  </r>
  <r>
    <x v="1"/>
    <x v="2"/>
    <x v="76"/>
    <s v="D E S P E S A S"/>
    <n v="393133.47"/>
    <n v="481529.38"/>
    <n v="251.97"/>
    <n v="481277.41000000003"/>
    <n v="874410.88"/>
    <s v="D"/>
    <x v="0"/>
    <x v="0"/>
    <x v="2"/>
    <x v="0"/>
    <s v=""/>
    <x v="0"/>
  </r>
  <r>
    <x v="1"/>
    <x v="2"/>
    <x v="50"/>
    <s v="DESPESAS - SAUDE"/>
    <n v="393133.47"/>
    <n v="481529.38"/>
    <n v="251.97"/>
    <n v="481277.41000000003"/>
    <n v="874410.88"/>
    <s v="D"/>
    <x v="1"/>
    <x v="0"/>
    <x v="2"/>
    <x v="0"/>
    <s v=""/>
    <x v="0"/>
  </r>
  <r>
    <x v="1"/>
    <x v="2"/>
    <x v="51"/>
    <s v="DESPESAS - HOSPITAIS"/>
    <n v="393133.47"/>
    <n v="481529.38"/>
    <n v="251.97"/>
    <n v="481277.41000000003"/>
    <n v="874410.88"/>
    <s v="D"/>
    <x v="2"/>
    <x v="0"/>
    <x v="2"/>
    <x v="0"/>
    <s v=""/>
    <x v="0"/>
  </r>
  <r>
    <x v="1"/>
    <x v="2"/>
    <x v="52"/>
    <s v="CUSTOS - SAUDE"/>
    <n v="393133.47"/>
    <n v="481529.38"/>
    <n v="251.97"/>
    <n v="481277.41000000003"/>
    <n v="874410.88"/>
    <s v="D"/>
    <x v="3"/>
    <x v="0"/>
    <x v="2"/>
    <x v="0"/>
    <s v=""/>
    <x v="0"/>
  </r>
  <r>
    <x v="1"/>
    <x v="2"/>
    <x v="53"/>
    <s v="PESSOAL SERV. PROPRIOS"/>
    <n v="317131.58"/>
    <n v="319994.11"/>
    <n v="0"/>
    <n v="319994.11"/>
    <n v="637125.68999999994"/>
    <s v="D"/>
    <x v="4"/>
    <x v="0"/>
    <x v="2"/>
    <x v="14"/>
    <n v="319994.11"/>
    <x v="14"/>
  </r>
  <r>
    <x v="1"/>
    <x v="2"/>
    <x v="54"/>
    <s v="ORDENADOS"/>
    <n v="216359.83"/>
    <n v="217019.51"/>
    <n v="0"/>
    <n v="217019.51"/>
    <n v="433379.34"/>
    <s v="D"/>
    <x v="5"/>
    <x v="21"/>
    <x v="2"/>
    <x v="14"/>
    <n v="217019.51"/>
    <x v="14"/>
  </r>
  <r>
    <x v="1"/>
    <x v="2"/>
    <x v="58"/>
    <s v="CONTRIBUICOES AO FGTS"/>
    <n v="17308.78"/>
    <n v="17361.349999999999"/>
    <n v="0"/>
    <n v="17361.349999999999"/>
    <n v="34670.129999999997"/>
    <s v="D"/>
    <x v="5"/>
    <x v="25"/>
    <x v="2"/>
    <x v="14"/>
    <n v="17361.349999999999"/>
    <x v="14"/>
  </r>
  <r>
    <x v="1"/>
    <x v="2"/>
    <x v="59"/>
    <s v="CONTRIBUICOES AO PIS"/>
    <n v="2163.5700000000002"/>
    <n v="2170.15"/>
    <n v="0"/>
    <n v="2170.15"/>
    <n v="4333.72"/>
    <s v="D"/>
    <x v="5"/>
    <x v="26"/>
    <x v="2"/>
    <x v="14"/>
    <n v="2170.15"/>
    <x v="14"/>
  </r>
  <r>
    <x v="1"/>
    <x v="2"/>
    <x v="60"/>
    <s v="VALE TRANSPORTE"/>
    <n v="408"/>
    <n v="144"/>
    <n v="0"/>
    <n v="144"/>
    <n v="552"/>
    <s v="D"/>
    <x v="5"/>
    <x v="27"/>
    <x v="2"/>
    <x v="14"/>
    <n v="144"/>
    <x v="14"/>
  </r>
  <r>
    <x v="1"/>
    <x v="2"/>
    <x v="61"/>
    <s v="CONTRIBUICAO PATRONAL - INSS"/>
    <n v="43271.99"/>
    <n v="43403.92"/>
    <n v="0"/>
    <n v="43403.92"/>
    <n v="86675.91"/>
    <s v="D"/>
    <x v="5"/>
    <x v="28"/>
    <x v="2"/>
    <x v="14"/>
    <n v="43403.92"/>
    <x v="14"/>
  </r>
  <r>
    <x v="1"/>
    <x v="2"/>
    <x v="62"/>
    <s v="GRATIFICACOES"/>
    <n v="11723.41"/>
    <n v="13347.71"/>
    <n v="0"/>
    <n v="13347.71"/>
    <n v="25071.119999999999"/>
    <s v="D"/>
    <x v="5"/>
    <x v="29"/>
    <x v="2"/>
    <x v="14"/>
    <n v="13347.71"/>
    <x v="14"/>
  </r>
  <r>
    <x v="1"/>
    <x v="2"/>
    <x v="63"/>
    <s v="SEGURO ACIDENTE DE TRABALHO"/>
    <n v="4327.18"/>
    <n v="4340.38"/>
    <n v="0"/>
    <n v="4340.38"/>
    <n v="8667.56"/>
    <s v="D"/>
    <x v="5"/>
    <x v="30"/>
    <x v="2"/>
    <x v="14"/>
    <n v="4340.38"/>
    <x v="14"/>
  </r>
  <r>
    <x v="1"/>
    <x v="2"/>
    <x v="64"/>
    <s v="COTA TERCEIROS ( SESC, SENAC, INCRA )"/>
    <n v="12548.82"/>
    <n v="12587.09"/>
    <n v="0"/>
    <n v="12587.09"/>
    <n v="25135.91"/>
    <s v="D"/>
    <x v="5"/>
    <x v="31"/>
    <x v="2"/>
    <x v="14"/>
    <n v="12587.09"/>
    <x v="14"/>
  </r>
  <r>
    <x v="1"/>
    <x v="2"/>
    <x v="65"/>
    <s v="VALE REFEICAO"/>
    <n v="9020"/>
    <n v="9620"/>
    <n v="0"/>
    <n v="9620"/>
    <n v="18640"/>
    <s v="D"/>
    <x v="5"/>
    <x v="32"/>
    <x v="2"/>
    <x v="14"/>
    <n v="9620"/>
    <x v="14"/>
  </r>
  <r>
    <x v="1"/>
    <x v="2"/>
    <x v="66"/>
    <s v="PESSOAL SERVICOS TERCEIROS"/>
    <n v="0"/>
    <n v="33245"/>
    <n v="0"/>
    <n v="33245"/>
    <n v="33245"/>
    <s v="D"/>
    <x v="4"/>
    <x v="0"/>
    <x v="2"/>
    <x v="15"/>
    <n v="33245"/>
    <x v="15"/>
  </r>
  <r>
    <x v="1"/>
    <x v="2"/>
    <x v="89"/>
    <s v="HONORÁRIO CONTÁBIL"/>
    <n v="0"/>
    <n v="33245"/>
    <n v="0"/>
    <n v="33245"/>
    <n v="33245"/>
    <s v="D"/>
    <x v="5"/>
    <x v="43"/>
    <x v="2"/>
    <x v="15"/>
    <n v="33245"/>
    <x v="15"/>
  </r>
  <r>
    <x v="1"/>
    <x v="2"/>
    <x v="68"/>
    <s v="GERAIS"/>
    <n v="6976.34"/>
    <n v="77227.62"/>
    <n v="0"/>
    <n v="77227.62"/>
    <n v="84203.96"/>
    <s v="D"/>
    <x v="4"/>
    <x v="0"/>
    <x v="2"/>
    <x v="16"/>
    <n v="77227.62"/>
    <x v="16"/>
  </r>
  <r>
    <x v="1"/>
    <x v="2"/>
    <x v="69"/>
    <s v="ANUNCIOS E PUBLICIDADES"/>
    <n v="1019.03"/>
    <n v="251.55"/>
    <n v="0"/>
    <n v="251.55"/>
    <n v="1270.58"/>
    <s v="D"/>
    <x v="5"/>
    <x v="34"/>
    <x v="2"/>
    <x v="16"/>
    <n v="251.55"/>
    <x v="16"/>
  </r>
  <r>
    <x v="1"/>
    <x v="2"/>
    <x v="70"/>
    <s v="REMUNERACAO DE SERVIDORES CEDIDOS"/>
    <n v="5957.31"/>
    <n v="76976.070000000007"/>
    <n v="0"/>
    <n v="76976.070000000007"/>
    <n v="82933.38"/>
    <s v="D"/>
    <x v="5"/>
    <x v="35"/>
    <x v="2"/>
    <x v="16"/>
    <n v="76976.070000000007"/>
    <x v="16"/>
  </r>
  <r>
    <x v="1"/>
    <x v="2"/>
    <x v="77"/>
    <s v="PROV. PARA      CUSTOS DO EXERCICIO"/>
    <n v="61911.6"/>
    <n v="51062.65"/>
    <n v="251.97"/>
    <n v="50810.68"/>
    <n v="112722.28"/>
    <s v="D"/>
    <x v="4"/>
    <x v="0"/>
    <x v="2"/>
    <x v="18"/>
    <n v="50810.68"/>
    <x v="18"/>
  </r>
  <r>
    <x v="1"/>
    <x v="2"/>
    <x v="78"/>
    <s v="13 SALARIO"/>
    <n v="18954.62"/>
    <n v="18975.849999999999"/>
    <n v="0"/>
    <n v="18975.849999999999"/>
    <n v="37930.47"/>
    <s v="D"/>
    <x v="5"/>
    <x v="22"/>
    <x v="2"/>
    <x v="18"/>
    <n v="18975.849999999999"/>
    <x v="18"/>
  </r>
  <r>
    <x v="1"/>
    <x v="2"/>
    <x v="79"/>
    <s v="FERIAS"/>
    <n v="26302.28"/>
    <n v="18356.810000000001"/>
    <n v="22.36"/>
    <n v="18334.45"/>
    <n v="44636.73"/>
    <s v="D"/>
    <x v="5"/>
    <x v="23"/>
    <x v="2"/>
    <x v="18"/>
    <n v="18334.45"/>
    <x v="18"/>
  </r>
  <r>
    <x v="1"/>
    <x v="2"/>
    <x v="80"/>
    <s v="ENCARGOS SOCIAIS - 13º SALARIO"/>
    <n v="6975.38"/>
    <n v="6982.88"/>
    <n v="0"/>
    <n v="6982.88"/>
    <n v="13958.26"/>
    <s v="D"/>
    <x v="5"/>
    <x v="39"/>
    <x v="2"/>
    <x v="18"/>
    <n v="6982.88"/>
    <x v="18"/>
  </r>
  <r>
    <x v="1"/>
    <x v="2"/>
    <x v="81"/>
    <s v="ENCARGOS SOCIAIS - FÉRIAS"/>
    <n v="9679.32"/>
    <n v="6747.11"/>
    <n v="229.61"/>
    <n v="6517.5"/>
    <n v="16196.82"/>
    <s v="D"/>
    <x v="5"/>
    <x v="40"/>
    <x v="2"/>
    <x v="18"/>
    <n v="6517.5"/>
    <x v="18"/>
  </r>
  <r>
    <x v="1"/>
    <x v="2"/>
    <x v="82"/>
    <s v="DESPESAS FINANCEIRAS"/>
    <n v="7113.95"/>
    <n v="0"/>
    <n v="0"/>
    <n v="0"/>
    <n v="7113.95"/>
    <s v="D"/>
    <x v="4"/>
    <x v="0"/>
    <x v="2"/>
    <x v="19"/>
    <n v="0"/>
    <x v="19"/>
  </r>
  <r>
    <x v="1"/>
    <x v="2"/>
    <x v="83"/>
    <s v="JUROS E CORRECAO MONETARIA"/>
    <n v="7113.95"/>
    <n v="0"/>
    <n v="0"/>
    <n v="0"/>
    <n v="7113.95"/>
    <s v="D"/>
    <x v="5"/>
    <x v="41"/>
    <x v="2"/>
    <x v="19"/>
    <n v="0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7" minRefreshableVersion="3" showDrill="0" useAutoFormatting="1" rowGrandTotals="0" colGrandTotals="0" itemPrintTitles="1" createdVersion="6" indent="0" compact="0" compactData="0" multipleFieldFilters="0">
  <location ref="A3:I74" firstHeaderRow="1" firstDataRow="1" firstDataCol="8"/>
  <pivotFields count="16"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0">
        <item x="0"/>
        <item x="16"/>
        <item x="38"/>
        <item x="76"/>
        <item x="1"/>
        <item x="2"/>
        <item x="3"/>
        <item x="4"/>
        <item x="5"/>
        <item x="8"/>
        <item x="9"/>
        <item x="74"/>
        <item x="11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85"/>
        <item x="86"/>
        <item x="87"/>
        <item x="39"/>
        <item x="40"/>
        <item x="41"/>
        <item x="44"/>
        <item x="45"/>
        <item x="46"/>
        <item x="47"/>
        <item x="48"/>
        <item x="50"/>
        <item x="51"/>
        <item x="52"/>
        <item x="53"/>
        <item x="54"/>
        <item x="55"/>
        <item x="57"/>
        <item x="58"/>
        <item x="59"/>
        <item x="60"/>
        <item x="61"/>
        <item x="63"/>
        <item x="64"/>
        <item x="65"/>
        <item x="66"/>
        <item x="67"/>
        <item x="68"/>
        <item x="77"/>
        <item x="78"/>
        <item x="79"/>
        <item x="80"/>
        <item x="81"/>
        <item x="72"/>
        <item x="82"/>
        <item x="83"/>
        <item x="6"/>
        <item x="7"/>
        <item x="10"/>
        <item x="12"/>
        <item x="13"/>
        <item x="14"/>
        <item x="15"/>
        <item x="37"/>
        <item x="42"/>
        <item x="56"/>
        <item x="62"/>
        <item x="69"/>
        <item x="70"/>
        <item x="71"/>
        <item x="73"/>
        <item x="75"/>
        <item x="43"/>
        <item x="84"/>
        <item x="88"/>
        <item x="89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m="1" x="6"/>
        <item x="0"/>
        <item x="1"/>
        <item x="2"/>
        <item x="3"/>
        <item m="1" x="11"/>
        <item x="4"/>
        <item m="1" x="7"/>
        <item x="5"/>
        <item m="1" x="9"/>
        <item m="1" x="10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7">
        <item m="1" x="165"/>
        <item m="1" x="90"/>
        <item m="1" x="140"/>
        <item m="1" x="66"/>
        <item m="1" x="250"/>
        <item m="1" x="100"/>
        <item m="1" x="61"/>
        <item m="1" x="267"/>
        <item m="1" x="205"/>
        <item m="1" x="231"/>
        <item m="1" x="179"/>
        <item m="1" x="185"/>
        <item m="1" x="280"/>
        <item m="1" x="224"/>
        <item m="1" x="150"/>
        <item m="1" x="220"/>
        <item m="1" x="108"/>
        <item m="1" x="253"/>
        <item m="1" x="158"/>
        <item m="1" x="126"/>
        <item x="22"/>
        <item m="1" x="254"/>
        <item m="1" x="175"/>
        <item m="1" x="216"/>
        <item m="1" x="103"/>
        <item m="1" x="291"/>
        <item m="1" x="104"/>
        <item m="1" x="89"/>
        <item m="1" x="222"/>
        <item m="1" x="92"/>
        <item m="1" x="134"/>
        <item m="1" x="285"/>
        <item m="1" x="95"/>
        <item m="1" x="252"/>
        <item m="1" x="215"/>
        <item m="1" x="276"/>
        <item m="1" x="64"/>
        <item m="1" x="191"/>
        <item m="1" x="148"/>
        <item m="1" x="56"/>
        <item m="1" x="164"/>
        <item x="1"/>
        <item m="1" x="54"/>
        <item m="1" x="166"/>
        <item m="1" x="189"/>
        <item m="1" x="135"/>
        <item m="1" x="283"/>
        <item m="1" x="178"/>
        <item m="1" x="206"/>
        <item m="1" x="81"/>
        <item m="1" x="98"/>
        <item m="1" x="45"/>
        <item m="1" x="161"/>
        <item m="1" x="244"/>
        <item m="1" x="138"/>
        <item m="1" x="184"/>
        <item m="1" x="275"/>
        <item m="1" x="237"/>
        <item m="1" x="247"/>
        <item m="1" x="120"/>
        <item m="1" x="55"/>
        <item x="28"/>
        <item x="25"/>
        <item x="26"/>
        <item m="1" x="69"/>
        <item m="1" x="183"/>
        <item m="1" x="68"/>
        <item m="1" x="269"/>
        <item m="1" x="194"/>
        <item m="1" x="87"/>
        <item m="1" x="287"/>
        <item m="1" x="169"/>
        <item m="1" x="156"/>
        <item m="1" x="155"/>
        <item m="1" x="192"/>
        <item m="1" x="102"/>
        <item m="1" x="130"/>
        <item m="1" x="236"/>
        <item m="1" x="122"/>
        <item m="1" x="274"/>
        <item m="1" x="136"/>
        <item m="1" x="114"/>
        <item m="1" x="59"/>
        <item m="1" x="142"/>
        <item m="1" x="278"/>
        <item m="1" x="214"/>
        <item m="1" x="112"/>
        <item x="39"/>
        <item x="40"/>
        <item m="1" x="202"/>
        <item m="1" x="107"/>
        <item m="1" x="147"/>
        <item m="1" x="234"/>
        <item m="1" x="288"/>
        <item m="1" x="193"/>
        <item x="9"/>
        <item x="23"/>
        <item m="1" x="159"/>
        <item m="1" x="282"/>
        <item m="1" x="172"/>
        <item m="1" x="83"/>
        <item m="1" x="203"/>
        <item m="1" x="187"/>
        <item m="1" x="241"/>
        <item m="1" x="62"/>
        <item m="1" x="174"/>
        <item m="1" x="218"/>
        <item m="1" x="80"/>
        <item m="1" x="199"/>
        <item m="1" x="264"/>
        <item m="1" x="181"/>
        <item m="1" x="226"/>
        <item m="1" x="79"/>
        <item m="1" x="58"/>
        <item m="1" x="93"/>
        <item x="10"/>
        <item m="1" x="111"/>
        <item m="1" x="212"/>
        <item x="12"/>
        <item m="1" x="121"/>
        <item m="1" x="190"/>
        <item m="1" x="123"/>
        <item m="1" x="273"/>
        <item m="1" x="228"/>
        <item m="1" x="207"/>
        <item m="1" x="186"/>
        <item m="1" x="151"/>
        <item m="1" x="157"/>
        <item m="1" x="230"/>
        <item m="1" x="75"/>
        <item x="24"/>
        <item m="1" x="223"/>
        <item m="1" x="63"/>
        <item m="1" x="293"/>
        <item m="1" x="238"/>
        <item m="1" x="204"/>
        <item m="1" x="290"/>
        <item m="1" x="171"/>
        <item m="1" x="217"/>
        <item x="41"/>
        <item m="1" x="180"/>
        <item m="1" x="105"/>
        <item m="1" x="99"/>
        <item m="1" x="242"/>
        <item m="1" x="57"/>
        <item m="1" x="131"/>
        <item m="1" x="239"/>
        <item m="1" x="281"/>
        <item m="1" x="113"/>
        <item m="1" x="109"/>
        <item m="1" x="117"/>
        <item m="1" x="44"/>
        <item m="1" x="257"/>
        <item m="1" x="125"/>
        <item m="1" x="50"/>
        <item m="1" x="295"/>
        <item m="1" x="277"/>
        <item m="1" x="176"/>
        <item m="1" x="163"/>
        <item m="1" x="116"/>
        <item m="1" x="94"/>
        <item m="1" x="52"/>
        <item m="1" x="146"/>
        <item m="1" x="268"/>
        <item m="1" x="119"/>
        <item m="1" x="74"/>
        <item x="21"/>
        <item x="7"/>
        <item m="1" x="162"/>
        <item m="1" x="118"/>
        <item m="1" x="88"/>
        <item m="1" x="266"/>
        <item m="1" x="284"/>
        <item m="1" x="129"/>
        <item m="1" x="70"/>
        <item x="11"/>
        <item m="1" x="141"/>
        <item m="1" x="225"/>
        <item m="1" x="106"/>
        <item m="1" x="243"/>
        <item m="1" x="248"/>
        <item m="1" x="246"/>
        <item m="1" x="270"/>
        <item m="1" x="167"/>
        <item m="1" x="86"/>
        <item m="1" x="110"/>
        <item m="1" x="145"/>
        <item m="1" x="271"/>
        <item m="1" x="65"/>
        <item m="1" x="170"/>
        <item m="1" x="229"/>
        <item m="1" x="260"/>
        <item m="1" x="235"/>
        <item m="1" x="182"/>
        <item m="1" x="177"/>
        <item m="1" x="48"/>
        <item m="1" x="96"/>
        <item m="1" x="49"/>
        <item m="1" x="219"/>
        <item m="1" x="97"/>
        <item m="1" x="73"/>
        <item m="1" x="196"/>
        <item m="1" x="137"/>
        <item m="1" x="227"/>
        <item x="14"/>
        <item m="1" x="132"/>
        <item m="1" x="60"/>
        <item m="1" x="143"/>
        <item m="1" x="51"/>
        <item m="1" x="232"/>
        <item m="1" x="265"/>
        <item m="1" x="124"/>
        <item m="1" x="133"/>
        <item m="1" x="127"/>
        <item m="1" x="286"/>
        <item m="1" x="261"/>
        <item m="1" x="71"/>
        <item m="1" x="240"/>
        <item m="1" x="53"/>
        <item m="1" x="255"/>
        <item m="1" x="149"/>
        <item m="1" x="263"/>
        <item m="1" x="233"/>
        <item m="1" x="256"/>
        <item m="1" x="115"/>
        <item m="1" x="289"/>
        <item x="19"/>
        <item m="1" x="221"/>
        <item x="20"/>
        <item x="8"/>
        <item m="1" x="82"/>
        <item m="1" x="210"/>
        <item m="1" x="77"/>
        <item m="1" x="139"/>
        <item x="30"/>
        <item m="1" x="258"/>
        <item m="1" x="213"/>
        <item m="1" x="72"/>
        <item m="1" x="84"/>
        <item m="1" x="91"/>
        <item x="32"/>
        <item x="27"/>
        <item m="1" x="279"/>
        <item m="1" x="249"/>
        <item m="1" x="47"/>
        <item m="1" x="201"/>
        <item m="1" x="294"/>
        <item m="1" x="245"/>
        <item m="1" x="144"/>
        <item m="1" x="211"/>
        <item m="1" x="85"/>
        <item m="1" x="251"/>
        <item m="1" x="67"/>
        <item m="1" x="198"/>
        <item x="0"/>
        <item m="1" x="200"/>
        <item m="1" x="168"/>
        <item m="1" x="153"/>
        <item m="1" x="76"/>
        <item m="1" x="262"/>
        <item m="1" x="152"/>
        <item m="1" x="209"/>
        <item m="1" x="292"/>
        <item m="1" x="296"/>
        <item m="1" x="188"/>
        <item m="1" x="173"/>
        <item m="1" x="195"/>
        <item x="13"/>
        <item x="15"/>
        <item x="16"/>
        <item m="1" x="128"/>
        <item m="1" x="272"/>
        <item x="31"/>
        <item m="1" x="208"/>
        <item m="1" x="101"/>
        <item m="1" x="154"/>
        <item x="33"/>
        <item m="1" x="197"/>
        <item m="1" x="78"/>
        <item x="38"/>
        <item m="1" x="160"/>
        <item m="1" x="46"/>
        <item m="1" x="259"/>
        <item x="2"/>
        <item x="3"/>
        <item x="4"/>
        <item x="5"/>
        <item x="6"/>
        <item x="17"/>
        <item x="29"/>
        <item x="34"/>
        <item x="35"/>
        <item x="36"/>
        <item x="37"/>
        <item x="18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multipleItemSelectionAllowed="1" showAll="0" sortType="ascending" defaultSubtotal="0">
      <items count="57">
        <item h="1" x="0"/>
        <item h="1" m="1" x="30"/>
        <item h="1" m="1" x="25"/>
        <item h="1" x="1"/>
        <item h="1" x="2"/>
        <item h="1" m="1" x="28"/>
        <item h="1" m="1" x="55"/>
        <item h="1" x="3"/>
        <item h="1" x="4"/>
        <item h="1" x="5"/>
        <item h="1" m="1" x="33"/>
        <item h="1" m="1" x="29"/>
        <item h="1" m="1" x="56"/>
        <item h="1" m="1" x="27"/>
        <item h="1" m="1" x="26"/>
        <item h="1" m="1" x="54"/>
        <item h="1" m="1" x="31"/>
        <item h="1" m="1" x="23"/>
        <item h="1" m="1" x="32"/>
        <item h="1" m="1" x="21"/>
        <item h="1" m="1" x="37"/>
        <item h="1" m="1" x="34"/>
        <item h="1" m="1" x="48"/>
        <item h="1" m="1" x="44"/>
        <item h="1" m="1" x="42"/>
        <item h="1" m="1" x="51"/>
        <item h="1" m="1" x="45"/>
        <item h="1" m="1" x="47"/>
        <item h="1" x="6"/>
        <item h="1" x="7"/>
        <item h="1" x="8"/>
        <item h="1" m="1" x="49"/>
        <item h="1" x="9"/>
        <item h="1" m="1" x="43"/>
        <item h="1" x="10"/>
        <item h="1" m="1" x="36"/>
        <item h="1" x="20"/>
        <item h="1" m="1" x="35"/>
        <item h="1" m="1" x="46"/>
        <item h="1" x="11"/>
        <item h="1" m="1" x="38"/>
        <item h="1" x="12"/>
        <item h="1" m="1" x="39"/>
        <item h="1" x="13"/>
        <item m="1" x="40"/>
        <item x="14"/>
        <item x="15"/>
        <item m="1" x="24"/>
        <item x="16"/>
        <item x="18"/>
        <item x="17"/>
        <item x="19"/>
        <item h="1" m="1" x="50"/>
        <item h="1" m="1" x="52"/>
        <item h="1" m="1" x="53"/>
        <item h="1" m="1" x="22"/>
        <item h="1" m="1"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6">
        <item m="1" x="37"/>
        <item m="1" x="28"/>
        <item m="1" x="39"/>
        <item m="1" x="36"/>
        <item m="1" x="25"/>
        <item x="1"/>
        <item m="1" x="44"/>
        <item x="3"/>
        <item m="1" x="53"/>
        <item x="19"/>
        <item m="1" x="41"/>
        <item m="1" x="30"/>
        <item m="1" x="49"/>
        <item m="1" x="26"/>
        <item m="1" x="42"/>
        <item m="1" x="47"/>
        <item x="16"/>
        <item m="1" x="27"/>
        <item m="1" x="43"/>
        <item m="1" x="34"/>
        <item m="1" x="48"/>
        <item x="17"/>
        <item m="1" x="46"/>
        <item m="1" x="54"/>
        <item m="1" x="21"/>
        <item m="1" x="50"/>
        <item m="1" x="35"/>
        <item m="1" x="23"/>
        <item x="8"/>
        <item x="7"/>
        <item m="1" x="32"/>
        <item x="6"/>
        <item m="1" x="40"/>
        <item x="4"/>
        <item x="20"/>
        <item x="14"/>
        <item m="1" x="22"/>
        <item x="15"/>
        <item m="1" x="33"/>
        <item m="1" x="29"/>
        <item x="9"/>
        <item m="1" x="52"/>
        <item m="1" x="51"/>
        <item m="1" x="24"/>
        <item x="10"/>
        <item x="12"/>
        <item x="13"/>
        <item x="0"/>
        <item m="1" x="45"/>
        <item m="1" x="55"/>
        <item m="1" x="38"/>
        <item m="1" x="31"/>
        <item x="2"/>
        <item x="5"/>
        <item x="1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0"/>
    <field x="1"/>
    <field x="12"/>
    <field x="2"/>
    <field x="10"/>
    <field x="13"/>
    <field x="15"/>
    <field x="11"/>
  </rowFields>
  <rowItems count="71">
    <i>
      <x/>
      <x v="2"/>
      <x/>
      <x v="47"/>
      <x v="6"/>
      <x v="45"/>
      <x v="35"/>
      <x v="254"/>
    </i>
    <i r="3">
      <x v="48"/>
      <x v="8"/>
      <x v="45"/>
      <x v="35"/>
      <x v="166"/>
    </i>
    <i r="3">
      <x v="49"/>
      <x v="8"/>
      <x v="45"/>
      <x v="35"/>
      <x v="20"/>
    </i>
    <i r="3">
      <x v="50"/>
      <x v="8"/>
      <x v="45"/>
      <x v="35"/>
      <x v="130"/>
    </i>
    <i r="3">
      <x v="51"/>
      <x v="8"/>
      <x v="45"/>
      <x v="35"/>
      <x v="62"/>
    </i>
    <i r="3">
      <x v="52"/>
      <x v="8"/>
      <x v="45"/>
      <x v="35"/>
      <x v="63"/>
    </i>
    <i r="3">
      <x v="53"/>
      <x v="8"/>
      <x v="45"/>
      <x v="35"/>
      <x v="241"/>
    </i>
    <i r="3">
      <x v="54"/>
      <x v="8"/>
      <x v="45"/>
      <x v="35"/>
      <x v="61"/>
    </i>
    <i r="3">
      <x v="55"/>
      <x v="8"/>
      <x v="45"/>
      <x v="35"/>
      <x v="234"/>
    </i>
    <i r="3">
      <x v="56"/>
      <x v="8"/>
      <x v="45"/>
      <x v="35"/>
      <x v="272"/>
    </i>
    <i r="3">
      <x v="57"/>
      <x v="8"/>
      <x v="45"/>
      <x v="35"/>
      <x v="240"/>
    </i>
    <i r="3">
      <x v="58"/>
      <x v="6"/>
      <x v="46"/>
      <x v="37"/>
      <x v="254"/>
    </i>
    <i r="3">
      <x v="59"/>
      <x v="8"/>
      <x v="46"/>
      <x v="37"/>
      <x v="276"/>
    </i>
    <i r="3">
      <x v="60"/>
      <x v="6"/>
      <x v="48"/>
      <x v="16"/>
      <x v="254"/>
    </i>
    <i r="3">
      <x v="66"/>
      <x v="6"/>
      <x v="50"/>
      <x v="21"/>
      <x v="254"/>
    </i>
    <i r="3">
      <x v="78"/>
      <x v="8"/>
      <x v="45"/>
      <x v="35"/>
      <x v="96"/>
    </i>
    <i r="3">
      <x v="79"/>
      <x v="8"/>
      <x v="45"/>
      <x v="35"/>
      <x v="289"/>
    </i>
    <i r="3">
      <x v="80"/>
      <x v="8"/>
      <x v="48"/>
      <x v="16"/>
      <x v="290"/>
    </i>
    <i r="3">
      <x v="81"/>
      <x v="8"/>
      <x v="48"/>
      <x v="16"/>
      <x v="291"/>
    </i>
    <i r="3">
      <x v="82"/>
      <x v="8"/>
      <x v="48"/>
      <x v="16"/>
      <x v="292"/>
    </i>
    <i r="3">
      <x v="83"/>
      <x v="8"/>
      <x v="50"/>
      <x v="21"/>
      <x v="293"/>
    </i>
    <i>
      <x v="1"/>
      <x/>
      <x v="1"/>
      <x v="47"/>
      <x v="6"/>
      <x v="45"/>
      <x v="35"/>
      <x v="254"/>
    </i>
    <i r="3">
      <x v="48"/>
      <x v="8"/>
      <x v="45"/>
      <x v="35"/>
      <x v="166"/>
    </i>
    <i r="3">
      <x v="49"/>
      <x v="8"/>
      <x v="45"/>
      <x v="35"/>
      <x v="20"/>
    </i>
    <i r="3">
      <x v="50"/>
      <x v="8"/>
      <x v="45"/>
      <x v="35"/>
      <x v="130"/>
    </i>
    <i r="3">
      <x v="51"/>
      <x v="8"/>
      <x v="45"/>
      <x v="35"/>
      <x v="62"/>
    </i>
    <i r="3">
      <x v="52"/>
      <x v="8"/>
      <x v="45"/>
      <x v="35"/>
      <x v="63"/>
    </i>
    <i r="3">
      <x v="53"/>
      <x v="8"/>
      <x v="45"/>
      <x v="35"/>
      <x v="241"/>
    </i>
    <i r="3">
      <x v="54"/>
      <x v="8"/>
      <x v="45"/>
      <x v="35"/>
      <x v="61"/>
    </i>
    <i r="3">
      <x v="55"/>
      <x v="8"/>
      <x v="45"/>
      <x v="35"/>
      <x v="234"/>
    </i>
    <i r="3">
      <x v="56"/>
      <x v="8"/>
      <x v="45"/>
      <x v="35"/>
      <x v="272"/>
    </i>
    <i r="3">
      <x v="57"/>
      <x v="8"/>
      <x v="45"/>
      <x v="35"/>
      <x v="240"/>
    </i>
    <i r="3">
      <x v="58"/>
      <x v="6"/>
      <x v="46"/>
      <x v="37"/>
      <x v="254"/>
    </i>
    <i r="3">
      <x v="59"/>
      <x v="8"/>
      <x v="46"/>
      <x v="37"/>
      <x v="276"/>
    </i>
    <i r="3">
      <x v="60"/>
      <x v="6"/>
      <x v="48"/>
      <x v="16"/>
      <x v="254"/>
    </i>
    <i r="3">
      <x v="61"/>
      <x v="6"/>
      <x v="49"/>
      <x v="55"/>
      <x v="254"/>
    </i>
    <i r="3">
      <x v="62"/>
      <x v="8"/>
      <x v="49"/>
      <x v="55"/>
      <x v="20"/>
    </i>
    <i r="3">
      <x v="63"/>
      <x v="8"/>
      <x v="49"/>
      <x v="55"/>
      <x v="96"/>
    </i>
    <i r="3">
      <x v="64"/>
      <x v="8"/>
      <x v="49"/>
      <x v="55"/>
      <x v="87"/>
    </i>
    <i r="3">
      <x v="65"/>
      <x v="8"/>
      <x v="49"/>
      <x v="55"/>
      <x v="88"/>
    </i>
    <i r="3">
      <x v="66"/>
      <x v="6"/>
      <x v="50"/>
      <x v="21"/>
      <x v="254"/>
    </i>
    <i r="3">
      <x v="67"/>
      <x v="6"/>
      <x v="51"/>
      <x v="9"/>
      <x v="254"/>
    </i>
    <i r="3">
      <x v="68"/>
      <x v="8"/>
      <x v="51"/>
      <x v="9"/>
      <x v="139"/>
    </i>
    <i r="3">
      <x v="78"/>
      <x v="8"/>
      <x v="45"/>
      <x v="35"/>
      <x v="96"/>
    </i>
    <i r="3">
      <x v="79"/>
      <x v="8"/>
      <x v="45"/>
      <x v="35"/>
      <x v="289"/>
    </i>
    <i r="3">
      <x v="80"/>
      <x v="8"/>
      <x v="48"/>
      <x v="16"/>
      <x v="290"/>
    </i>
    <i r="3">
      <x v="81"/>
      <x v="8"/>
      <x v="48"/>
      <x v="16"/>
      <x v="291"/>
    </i>
    <i r="3">
      <x v="82"/>
      <x v="8"/>
      <x v="48"/>
      <x v="16"/>
      <x v="292"/>
    </i>
    <i r="3">
      <x v="83"/>
      <x v="8"/>
      <x v="50"/>
      <x v="21"/>
      <x v="293"/>
    </i>
    <i r="1">
      <x v="1"/>
      <x v="2"/>
      <x v="47"/>
      <x v="6"/>
      <x v="45"/>
      <x v="35"/>
      <x v="254"/>
    </i>
    <i r="3">
      <x v="48"/>
      <x v="8"/>
      <x v="45"/>
      <x v="35"/>
      <x v="166"/>
    </i>
    <i r="3">
      <x v="51"/>
      <x v="8"/>
      <x v="45"/>
      <x v="35"/>
      <x v="62"/>
    </i>
    <i r="3">
      <x v="52"/>
      <x v="8"/>
      <x v="45"/>
      <x v="35"/>
      <x v="63"/>
    </i>
    <i r="3">
      <x v="53"/>
      <x v="8"/>
      <x v="45"/>
      <x v="35"/>
      <x v="241"/>
    </i>
    <i r="3">
      <x v="54"/>
      <x v="8"/>
      <x v="45"/>
      <x v="35"/>
      <x v="61"/>
    </i>
    <i r="3">
      <x v="55"/>
      <x v="8"/>
      <x v="45"/>
      <x v="35"/>
      <x v="234"/>
    </i>
    <i r="3">
      <x v="56"/>
      <x v="8"/>
      <x v="45"/>
      <x v="35"/>
      <x v="272"/>
    </i>
    <i r="3">
      <x v="57"/>
      <x v="8"/>
      <x v="45"/>
      <x v="35"/>
      <x v="240"/>
    </i>
    <i r="3">
      <x v="58"/>
      <x v="6"/>
      <x v="46"/>
      <x v="37"/>
      <x v="254"/>
    </i>
    <i r="3">
      <x v="60"/>
      <x v="6"/>
      <x v="48"/>
      <x v="16"/>
      <x v="254"/>
    </i>
    <i r="3">
      <x v="61"/>
      <x v="6"/>
      <x v="49"/>
      <x v="55"/>
      <x v="254"/>
    </i>
    <i r="3">
      <x v="62"/>
      <x v="8"/>
      <x v="49"/>
      <x v="55"/>
      <x v="20"/>
    </i>
    <i r="3">
      <x v="63"/>
      <x v="8"/>
      <x v="49"/>
      <x v="55"/>
      <x v="96"/>
    </i>
    <i r="3">
      <x v="64"/>
      <x v="8"/>
      <x v="49"/>
      <x v="55"/>
      <x v="87"/>
    </i>
    <i r="3">
      <x v="65"/>
      <x v="8"/>
      <x v="49"/>
      <x v="55"/>
      <x v="88"/>
    </i>
    <i r="3">
      <x v="67"/>
      <x v="6"/>
      <x v="51"/>
      <x v="9"/>
      <x v="254"/>
    </i>
    <i r="3">
      <x v="68"/>
      <x v="8"/>
      <x v="51"/>
      <x v="9"/>
      <x v="139"/>
    </i>
    <i r="3">
      <x v="79"/>
      <x v="8"/>
      <x v="45"/>
      <x v="35"/>
      <x v="289"/>
    </i>
    <i r="3">
      <x v="80"/>
      <x v="8"/>
      <x v="48"/>
      <x v="16"/>
      <x v="290"/>
    </i>
    <i r="3">
      <x v="81"/>
      <x v="8"/>
      <x v="48"/>
      <x v="16"/>
      <x v="291"/>
    </i>
    <i r="3">
      <x v="88"/>
      <x v="8"/>
      <x v="46"/>
      <x v="37"/>
      <x v="296"/>
    </i>
  </rowItems>
  <colItems count="1">
    <i/>
  </colItems>
  <dataFields count="1">
    <dataField name="Soma de Valor" fld="14" baseField="2" baseItem="17" numFmtId="4"/>
  </dataFields>
  <formats count="3">
    <format dxfId="55">
      <pivotArea field="12" type="button" dataOnly="0" labelOnly="1" outline="0" axis="axisRow" fieldPosition="2"/>
    </format>
    <format dxfId="54">
      <pivotArea outline="0" collapsedLevelsAreSubtotals="1" fieldPosition="0"/>
    </format>
    <format dxfId="5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6" name="Tabela6" displayName="Tabela6" ref="B13:G42" totalsRowShown="0" headerRowDxfId="63" dataDxfId="62">
  <autoFilter ref="B13:G42"/>
  <tableColumns count="6">
    <tableColumn id="1" name="GRUPO" dataDxfId="61"/>
    <tableColumn id="2" name="CLASSIFICAÇÃO" dataDxfId="60"/>
    <tableColumn id="3" name="DESCRIÇÃO DA DESPESA" dataDxfId="59"/>
    <tableColumn id="4" name="VALOR" dataDxfId="58"/>
    <tableColumn id="6" name="FONTE RECURSO" dataDxfId="57"/>
    <tableColumn id="5" name="OBSERVAÇÃO" dataDxfId="5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BCARGO" displayName="TBCARGO" ref="A1:N13" totalsRowCount="1">
  <autoFilter ref="A1:N12"/>
  <tableColumns count="14">
    <tableColumn id="1" name="Cargo" totalsRowLabel="Total" dataDxfId="52" totalsRowDxfId="51"/>
    <tableColumn id="8" name="Nomeclatura" dataDxfId="50" totalsRowDxfId="49"/>
    <tableColumn id="2" name=" QTD" totalsRowFunction="sum" dataDxfId="48"/>
    <tableColumn id="3" name=" Salário Base" dataDxfId="47"/>
    <tableColumn id="4" name=" Salário total" totalsRowFunction="sum" dataDxfId="46" totalsRowDxfId="45"/>
    <tableColumn id="5" name=" Encargos / vantagens" totalsRowFunction="custom" dataDxfId="44" totalsRowDxfId="43">
      <calculatedColumnFormula>TBCARGO[[#This Row],[ Salário total]]*SUM(Encargos!$B$3,Encargos!$B$4)</calculatedColumnFormula>
      <totalsRowFormula>SUBTOTAL(109,TBCARGO[] TBCARGO[ Encargos / vantagens] )</totalsRowFormula>
    </tableColumn>
    <tableColumn id="10" name="Gratificação" totalsRowFunction="sum" dataDxfId="42" totalsRowDxfId="41">
      <calculatedColumnFormula>TBCARGO[[#This Row],[ Salário total]]*0.09</calculatedColumnFormula>
    </tableColumn>
    <tableColumn id="11" name="Refeição" totalsRowFunction="sum" dataDxfId="40" totalsRowDxfId="39">
      <calculatedColumnFormula>TBCARGO[[#This Row],[ QTD]]*300</calculatedColumnFormula>
    </tableColumn>
    <tableColumn id="6" name=" Provisões" totalsRowFunction="sum" dataDxfId="38" totalsRowDxfId="37">
      <calculatedColumnFormula>TBCARGO[[#This Row],[ Salário total]]*SUM(Encargos!$B$5:$B$10)</calculatedColumnFormula>
    </tableColumn>
    <tableColumn id="7" name=" Total" totalsRowFunction="sum" dataDxfId="36" totalsRowDxfId="35">
      <calculatedColumnFormula>SUM(TBCARGO[[#This Row],[ Salário total]:[ Provisões]])</calculatedColumnFormula>
    </tableColumn>
    <tableColumn id="9" name="Coluna1" dataDxfId="34"/>
    <tableColumn id="12" name="Coluna2" dataDxfId="33">
      <calculatedColumnFormula>TBCARGO[[#This Row],[ Salário Base]]*0.09</calculatedColumnFormula>
    </tableColumn>
    <tableColumn id="13" name="Coluna3" dataDxfId="32">
      <calculatedColumnFormula>TBCARGO[[#This Row],[ Salário Base]]+TBCARGO[[#This Row],[Coluna2]]</calculatedColumnFormula>
    </tableColumn>
    <tableColumn id="14" name="Coluna4" totalsRowFunction="sum" dataDxfId="31" totalsRowDxfId="30">
      <calculatedColumnFormula>TBCARGO[[#This Row],[ Salário total]]*0.3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B_Enc_Sem_CEBAS" displayName="TB_Enc_Sem_CEBAS" ref="A2:B11" totalsRowCount="1" headerRowDxfId="29" dataDxfId="28" totalsRowDxfId="27">
  <autoFilter ref="A2:B10"/>
  <tableColumns count="2">
    <tableColumn id="1" name="Verba" totalsRowLabel="Total" dataDxfId="26" totalsRowDxfId="25"/>
    <tableColumn id="2" name="%" totalsRowFunction="sum" dataDxfId="24" totalsRowDxfId="2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Tb_Enc_c_CEBAS" displayName="Tb_Enc_c_CEBAS" ref="A17:B26" totalsRowCount="1" headerRowDxfId="22" dataDxfId="21" totalsRowDxfId="20">
  <autoFilter ref="A17:B25"/>
  <tableColumns count="2">
    <tableColumn id="1" name="Verba" totalsRowLabel="Total" dataDxfId="19" totalsRowDxfId="18"/>
    <tableColumn id="2" name="%" totalsRowFunction="sum" dataDxfId="17" totalsRowDxfId="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1" name="Tabela1" displayName="Tabela1" ref="A7:P240" totalsRowShown="0" headerRowDxfId="15" dataDxfId="14">
  <autoFilter ref="A7:P240"/>
  <tableColumns count="16">
    <tableColumn id="14" name="ANO" dataDxfId="13"/>
    <tableColumn id="1" name="Meses"/>
    <tableColumn id="2" name="Conta" dataDxfId="12"/>
    <tableColumn id="3" name="Descrição Original" dataDxfId="11"/>
    <tableColumn id="4" name="Saldo Anterior" dataDxfId="10"/>
    <tableColumn id="5" name="Valor Débito" dataDxfId="9"/>
    <tableColumn id="6" name="Valor Crédito" dataDxfId="8"/>
    <tableColumn id="7" name="Movimento" dataDxfId="7">
      <calculatedColumnFormula>F8-G8</calculatedColumnFormula>
    </tableColumn>
    <tableColumn id="8" name="Salo Atual" dataDxfId="6"/>
    <tableColumn id="9" name="D/C" dataDxfId="5"/>
    <tableColumn id="10" name="Tam Conta">
      <calculatedColumnFormula>LEN(C8)</calculatedColumnFormula>
    </tableColumn>
    <tableColumn id="15" name="Descrição" dataDxfId="4">
      <calculatedColumnFormula>IF(Tabela1[[#This Row],[Tam Conta]]=17,VLOOKUP(Tabela1[[#This Row],[Conta]],Tabela!$A:$C,3,FALSE),"")</calculatedColumnFormula>
    </tableColumn>
    <tableColumn id="16" name="Mês" dataDxfId="3">
      <calculatedColumnFormula>VLOOKUP(Tabela1[[#This Row],[ANO]]&amp;Tabela1[[#This Row],[Meses]],Tabela!$O:$P,2,FALSE)</calculatedColumnFormula>
    </tableColumn>
    <tableColumn id="11" name="Contas" dataDxfId="2">
      <calculatedColumnFormula>IF(K8&gt;=13,MID(C8,1,13),"")</calculatedColumnFormula>
    </tableColumn>
    <tableColumn id="12" name="Valor" dataDxfId="1">
      <calculatedColumnFormula>IF(Tabela1[[#This Row],[Contas]]="","",IF(Tabela1[[#This Row],[Contas]]="1.01.01.03.01",Tabela1[[#This Row],[Valor Débito]],Tabela1[[#This Row],[Movimento]]))</calculatedColumnFormula>
    </tableColumn>
    <tableColumn id="13" name="Grupo" dataDxfId="0">
      <calculatedColumnFormula>IF(Tabela1[[#This Row],[Contas]]="","",IF(Tabela1[[#This Row],[Tam Conta]]=13,Tabela1[[#This Row],[Descrição Original]],P7))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:M138"/>
  <sheetViews>
    <sheetView workbookViewId="0">
      <selection activeCell="B20" sqref="B20"/>
    </sheetView>
  </sheetViews>
  <sheetFormatPr defaultRowHeight="14.5" x14ac:dyDescent="0.35"/>
  <cols>
    <col min="1" max="1" width="26.54296875" bestFit="1" customWidth="1"/>
    <col min="2" max="2" width="53.1796875" bestFit="1" customWidth="1"/>
    <col min="6" max="6" width="26.54296875" bestFit="1" customWidth="1"/>
    <col min="12" max="12" width="60" bestFit="1" customWidth="1"/>
    <col min="13" max="13" width="52.7265625" bestFit="1" customWidth="1"/>
  </cols>
  <sheetData>
    <row r="1" spans="1:13" x14ac:dyDescent="0.35">
      <c r="A1" s="73" t="s">
        <v>2</v>
      </c>
      <c r="B1" t="s">
        <v>15</v>
      </c>
      <c r="C1" s="83"/>
      <c r="F1" s="73" t="s">
        <v>2</v>
      </c>
      <c r="I1" s="76" t="s">
        <v>3285</v>
      </c>
      <c r="L1" s="76" t="s">
        <v>3285</v>
      </c>
      <c r="M1" s="82" t="s">
        <v>3269</v>
      </c>
    </row>
    <row r="2" spans="1:13" x14ac:dyDescent="0.35">
      <c r="A2" s="73" t="s">
        <v>2</v>
      </c>
      <c r="B2" t="s">
        <v>2698</v>
      </c>
      <c r="C2" s="83"/>
      <c r="F2" s="73" t="s">
        <v>3</v>
      </c>
      <c r="I2" t="s">
        <v>3286</v>
      </c>
      <c r="L2" s="76" t="s">
        <v>3285</v>
      </c>
      <c r="M2" s="72" t="s">
        <v>3270</v>
      </c>
    </row>
    <row r="3" spans="1:13" x14ac:dyDescent="0.35">
      <c r="A3" s="73" t="s">
        <v>2</v>
      </c>
      <c r="B3" t="s">
        <v>23</v>
      </c>
      <c r="C3" s="83"/>
      <c r="F3" s="73" t="s">
        <v>4</v>
      </c>
      <c r="I3" s="76" t="s">
        <v>3288</v>
      </c>
      <c r="L3" s="76" t="s">
        <v>3285</v>
      </c>
      <c r="M3" s="82" t="s">
        <v>3271</v>
      </c>
    </row>
    <row r="4" spans="1:13" x14ac:dyDescent="0.35">
      <c r="A4" s="73" t="s">
        <v>2</v>
      </c>
      <c r="B4" t="s">
        <v>11</v>
      </c>
      <c r="C4" s="83"/>
      <c r="F4" s="73" t="s">
        <v>5</v>
      </c>
      <c r="I4" t="s">
        <v>3287</v>
      </c>
      <c r="L4" s="76" t="s">
        <v>3285</v>
      </c>
      <c r="M4" s="72" t="s">
        <v>3282</v>
      </c>
    </row>
    <row r="5" spans="1:13" x14ac:dyDescent="0.35">
      <c r="A5" s="73" t="s">
        <v>2</v>
      </c>
      <c r="B5" t="s">
        <v>12</v>
      </c>
      <c r="C5" s="83"/>
      <c r="F5" s="73" t="s">
        <v>95</v>
      </c>
      <c r="L5" s="76" t="s">
        <v>3285</v>
      </c>
      <c r="M5" s="82" t="s">
        <v>3283</v>
      </c>
    </row>
    <row r="6" spans="1:13" x14ac:dyDescent="0.35">
      <c r="A6" s="73" t="s">
        <v>2</v>
      </c>
      <c r="B6" t="s">
        <v>2700</v>
      </c>
      <c r="C6" s="83"/>
      <c r="F6" s="73" t="s">
        <v>3261</v>
      </c>
      <c r="L6" s="76" t="s">
        <v>3285</v>
      </c>
      <c r="M6" s="72" t="s">
        <v>3284</v>
      </c>
    </row>
    <row r="7" spans="1:13" x14ac:dyDescent="0.35">
      <c r="A7" s="73" t="s">
        <v>2</v>
      </c>
      <c r="B7" t="s">
        <v>18</v>
      </c>
      <c r="C7" s="83"/>
      <c r="F7" s="73" t="s">
        <v>111</v>
      </c>
      <c r="J7" s="76"/>
      <c r="L7" t="s">
        <v>3286</v>
      </c>
      <c r="M7" s="72" t="s">
        <v>3272</v>
      </c>
    </row>
    <row r="8" spans="1:13" x14ac:dyDescent="0.35">
      <c r="A8" s="73" t="s">
        <v>2</v>
      </c>
      <c r="B8" t="s">
        <v>2702</v>
      </c>
      <c r="C8" s="83"/>
      <c r="F8" s="73" t="s">
        <v>6</v>
      </c>
      <c r="L8" t="s">
        <v>3286</v>
      </c>
      <c r="M8" s="82" t="s">
        <v>3275</v>
      </c>
    </row>
    <row r="9" spans="1:13" x14ac:dyDescent="0.35">
      <c r="A9" s="73" t="s">
        <v>2</v>
      </c>
      <c r="B9" t="s">
        <v>10</v>
      </c>
      <c r="C9" s="83"/>
      <c r="L9" s="76" t="s">
        <v>3288</v>
      </c>
      <c r="M9" s="82" t="s">
        <v>3273</v>
      </c>
    </row>
    <row r="10" spans="1:13" x14ac:dyDescent="0.35">
      <c r="A10" s="73" t="s">
        <v>2</v>
      </c>
      <c r="B10" t="s">
        <v>160</v>
      </c>
      <c r="C10" s="83"/>
      <c r="L10" s="76" t="s">
        <v>3288</v>
      </c>
      <c r="M10" s="72" t="s">
        <v>3274</v>
      </c>
    </row>
    <row r="11" spans="1:13" x14ac:dyDescent="0.35">
      <c r="A11" s="73" t="s">
        <v>2</v>
      </c>
      <c r="B11" t="s">
        <v>2704</v>
      </c>
      <c r="C11" s="83"/>
      <c r="L11" s="76" t="s">
        <v>3288</v>
      </c>
      <c r="M11" s="72" t="s">
        <v>3276</v>
      </c>
    </row>
    <row r="12" spans="1:13" x14ac:dyDescent="0.35">
      <c r="A12" s="73" t="s">
        <v>2</v>
      </c>
      <c r="B12" t="s">
        <v>2706</v>
      </c>
      <c r="C12" s="83"/>
      <c r="L12" s="76" t="s">
        <v>3288</v>
      </c>
      <c r="M12" s="72" t="s">
        <v>3280</v>
      </c>
    </row>
    <row r="13" spans="1:13" x14ac:dyDescent="0.35">
      <c r="A13" s="73" t="s">
        <v>2</v>
      </c>
      <c r="B13" t="s">
        <v>14</v>
      </c>
      <c r="C13" s="83"/>
      <c r="L13" t="s">
        <v>3287</v>
      </c>
      <c r="M13" s="82" t="s">
        <v>3277</v>
      </c>
    </row>
    <row r="14" spans="1:13" x14ac:dyDescent="0.35">
      <c r="A14" s="73" t="s">
        <v>2</v>
      </c>
      <c r="B14" t="s">
        <v>16</v>
      </c>
      <c r="C14" s="83"/>
      <c r="L14" t="s">
        <v>3287</v>
      </c>
      <c r="M14" s="72" t="s">
        <v>3278</v>
      </c>
    </row>
    <row r="15" spans="1:13" x14ac:dyDescent="0.35">
      <c r="A15" s="73" t="s">
        <v>2</v>
      </c>
      <c r="B15" t="s">
        <v>13</v>
      </c>
      <c r="C15" s="83"/>
      <c r="L15" t="s">
        <v>3287</v>
      </c>
      <c r="M15" s="82" t="s">
        <v>3279</v>
      </c>
    </row>
    <row r="16" spans="1:13" x14ac:dyDescent="0.35">
      <c r="A16" s="73" t="s">
        <v>2</v>
      </c>
      <c r="B16" t="s">
        <v>17</v>
      </c>
      <c r="C16" s="83"/>
      <c r="L16" t="s">
        <v>3287</v>
      </c>
      <c r="M16" s="82" t="s">
        <v>3281</v>
      </c>
    </row>
    <row r="17" spans="1:4" x14ac:dyDescent="0.35">
      <c r="A17" s="73" t="s">
        <v>2</v>
      </c>
      <c r="B17" t="s">
        <v>2708</v>
      </c>
      <c r="C17" s="83"/>
    </row>
    <row r="18" spans="1:4" x14ac:dyDescent="0.35">
      <c r="A18" s="73" t="s">
        <v>2</v>
      </c>
      <c r="B18" t="s">
        <v>2710</v>
      </c>
      <c r="C18" s="83"/>
    </row>
    <row r="19" spans="1:4" x14ac:dyDescent="0.35">
      <c r="A19" s="73" t="s">
        <v>2</v>
      </c>
      <c r="B19" t="s">
        <v>161</v>
      </c>
      <c r="C19" s="83"/>
    </row>
    <row r="20" spans="1:4" x14ac:dyDescent="0.35">
      <c r="A20" s="73" t="s">
        <v>2</v>
      </c>
      <c r="B20" t="s">
        <v>3306</v>
      </c>
      <c r="C20" s="83"/>
    </row>
    <row r="21" spans="1:4" x14ac:dyDescent="0.35">
      <c r="A21" s="73" t="s">
        <v>3</v>
      </c>
      <c r="B21" t="s">
        <v>19</v>
      </c>
      <c r="C21" s="83"/>
    </row>
    <row r="22" spans="1:4" x14ac:dyDescent="0.35">
      <c r="A22" s="73" t="s">
        <v>3</v>
      </c>
      <c r="B22" t="s">
        <v>20</v>
      </c>
      <c r="C22" s="83"/>
    </row>
    <row r="23" spans="1:4" x14ac:dyDescent="0.35">
      <c r="A23" s="73" t="s">
        <v>3</v>
      </c>
      <c r="B23" t="s">
        <v>21</v>
      </c>
      <c r="C23" s="83"/>
    </row>
    <row r="24" spans="1:4" x14ac:dyDescent="0.35">
      <c r="A24" s="73" t="s">
        <v>3</v>
      </c>
      <c r="B24" t="s">
        <v>22</v>
      </c>
      <c r="C24" s="83"/>
    </row>
    <row r="25" spans="1:4" x14ac:dyDescent="0.35">
      <c r="A25" s="73" t="s">
        <v>4</v>
      </c>
      <c r="B25" t="s">
        <v>163</v>
      </c>
      <c r="C25" s="83"/>
    </row>
    <row r="26" spans="1:4" x14ac:dyDescent="0.35">
      <c r="A26" s="73" t="s">
        <v>4</v>
      </c>
      <c r="B26" t="s">
        <v>506</v>
      </c>
      <c r="C26" s="83"/>
    </row>
    <row r="27" spans="1:4" x14ac:dyDescent="0.35">
      <c r="A27" s="73" t="s">
        <v>4</v>
      </c>
      <c r="B27" t="s">
        <v>162</v>
      </c>
      <c r="C27" s="83"/>
    </row>
    <row r="28" spans="1:4" x14ac:dyDescent="0.35">
      <c r="A28" s="73" t="s">
        <v>4</v>
      </c>
      <c r="B28" t="s">
        <v>164</v>
      </c>
      <c r="C28" s="83"/>
    </row>
    <row r="29" spans="1:4" x14ac:dyDescent="0.35">
      <c r="A29" s="73" t="s">
        <v>4</v>
      </c>
      <c r="B29" t="s">
        <v>767</v>
      </c>
      <c r="C29" s="83"/>
      <c r="D29" s="83"/>
    </row>
    <row r="30" spans="1:4" x14ac:dyDescent="0.35">
      <c r="A30" s="73" t="s">
        <v>4</v>
      </c>
      <c r="B30" t="s">
        <v>3293</v>
      </c>
      <c r="C30" s="83"/>
      <c r="D30" s="83"/>
    </row>
    <row r="31" spans="1:4" x14ac:dyDescent="0.35">
      <c r="A31" s="73" t="s">
        <v>4</v>
      </c>
      <c r="B31" t="s">
        <v>24</v>
      </c>
      <c r="C31" s="83"/>
      <c r="D31" s="83"/>
    </row>
    <row r="32" spans="1:4" x14ac:dyDescent="0.35">
      <c r="A32" s="73" t="s">
        <v>4</v>
      </c>
      <c r="B32" t="s">
        <v>509</v>
      </c>
      <c r="C32" s="83"/>
      <c r="D32" s="83"/>
    </row>
    <row r="33" spans="1:4" x14ac:dyDescent="0.35">
      <c r="A33" s="73" t="s">
        <v>4</v>
      </c>
      <c r="B33" t="s">
        <v>511</v>
      </c>
      <c r="D33" s="83"/>
    </row>
    <row r="34" spans="1:4" x14ac:dyDescent="0.35">
      <c r="A34" s="73" t="s">
        <v>4</v>
      </c>
      <c r="B34" t="s">
        <v>26</v>
      </c>
      <c r="D34" s="83"/>
    </row>
    <row r="35" spans="1:4" x14ac:dyDescent="0.35">
      <c r="A35" s="73" t="s">
        <v>4</v>
      </c>
      <c r="B35" t="s">
        <v>2742</v>
      </c>
      <c r="D35" s="83"/>
    </row>
    <row r="36" spans="1:4" x14ac:dyDescent="0.35">
      <c r="A36" s="73" t="s">
        <v>4</v>
      </c>
      <c r="B36" t="s">
        <v>2744</v>
      </c>
      <c r="D36" s="83"/>
    </row>
    <row r="37" spans="1:4" x14ac:dyDescent="0.35">
      <c r="A37" s="73" t="s">
        <v>4</v>
      </c>
      <c r="B37" t="s">
        <v>167</v>
      </c>
      <c r="D37" s="83"/>
    </row>
    <row r="38" spans="1:4" x14ac:dyDescent="0.35">
      <c r="A38" s="73" t="s">
        <v>4</v>
      </c>
      <c r="B38" t="s">
        <v>80</v>
      </c>
      <c r="D38" s="83"/>
    </row>
    <row r="39" spans="1:4" x14ac:dyDescent="0.35">
      <c r="A39" s="73" t="s">
        <v>4</v>
      </c>
      <c r="B39" t="s">
        <v>769</v>
      </c>
      <c r="D39" s="83"/>
    </row>
    <row r="40" spans="1:4" x14ac:dyDescent="0.35">
      <c r="A40" s="73" t="s">
        <v>5</v>
      </c>
      <c r="B40" t="s">
        <v>175</v>
      </c>
      <c r="D40" s="83"/>
    </row>
    <row r="41" spans="1:4" x14ac:dyDescent="0.35">
      <c r="A41" s="73" t="s">
        <v>5</v>
      </c>
      <c r="B41" t="s">
        <v>2712</v>
      </c>
      <c r="D41" s="83"/>
    </row>
    <row r="42" spans="1:4" x14ac:dyDescent="0.35">
      <c r="A42" s="73" t="s">
        <v>5</v>
      </c>
      <c r="B42" t="s">
        <v>3294</v>
      </c>
      <c r="D42" s="83"/>
    </row>
    <row r="43" spans="1:4" x14ac:dyDescent="0.35">
      <c r="A43" s="73" t="s">
        <v>5</v>
      </c>
      <c r="B43" t="s">
        <v>2716</v>
      </c>
      <c r="D43" s="83"/>
    </row>
    <row r="44" spans="1:4" x14ac:dyDescent="0.35">
      <c r="A44" s="73" t="s">
        <v>5</v>
      </c>
      <c r="B44" t="s">
        <v>2718</v>
      </c>
      <c r="D44" s="83"/>
    </row>
    <row r="45" spans="1:4" x14ac:dyDescent="0.35">
      <c r="A45" s="73" t="s">
        <v>5</v>
      </c>
      <c r="B45" t="s">
        <v>2720</v>
      </c>
      <c r="D45" s="83"/>
    </row>
    <row r="46" spans="1:4" x14ac:dyDescent="0.35">
      <c r="A46" s="73" t="s">
        <v>5</v>
      </c>
      <c r="B46" t="s">
        <v>2611</v>
      </c>
      <c r="D46" s="83"/>
    </row>
    <row r="47" spans="1:4" x14ac:dyDescent="0.35">
      <c r="A47" s="73" t="s">
        <v>5</v>
      </c>
      <c r="B47" t="s">
        <v>3295</v>
      </c>
      <c r="D47" s="83"/>
    </row>
    <row r="48" spans="1:4" x14ac:dyDescent="0.35">
      <c r="A48" s="73" t="s">
        <v>5</v>
      </c>
      <c r="B48" t="s">
        <v>3296</v>
      </c>
      <c r="D48" s="83"/>
    </row>
    <row r="49" spans="1:4" x14ac:dyDescent="0.35">
      <c r="A49" s="73" t="s">
        <v>5</v>
      </c>
      <c r="B49" t="s">
        <v>3297</v>
      </c>
      <c r="D49" s="83"/>
    </row>
    <row r="50" spans="1:4" x14ac:dyDescent="0.35">
      <c r="A50" s="73" t="s">
        <v>5</v>
      </c>
      <c r="B50" t="s">
        <v>3298</v>
      </c>
      <c r="D50" s="83"/>
    </row>
    <row r="51" spans="1:4" x14ac:dyDescent="0.35">
      <c r="A51" s="73" t="s">
        <v>5</v>
      </c>
      <c r="B51" t="s">
        <v>3299</v>
      </c>
      <c r="D51" s="83"/>
    </row>
    <row r="52" spans="1:4" x14ac:dyDescent="0.35">
      <c r="A52" s="73" t="s">
        <v>5</v>
      </c>
      <c r="B52" t="s">
        <v>3300</v>
      </c>
      <c r="D52" s="83"/>
    </row>
    <row r="53" spans="1:4" x14ac:dyDescent="0.35">
      <c r="A53" s="73" t="s">
        <v>5</v>
      </c>
      <c r="B53" t="s">
        <v>3301</v>
      </c>
      <c r="D53" s="83"/>
    </row>
    <row r="54" spans="1:4" x14ac:dyDescent="0.35">
      <c r="A54" s="73" t="s">
        <v>5</v>
      </c>
      <c r="B54" t="s">
        <v>2733</v>
      </c>
      <c r="D54" s="83"/>
    </row>
    <row r="55" spans="1:4" x14ac:dyDescent="0.35">
      <c r="A55" s="73" t="s">
        <v>5</v>
      </c>
      <c r="B55" t="s">
        <v>3302</v>
      </c>
      <c r="D55" s="83"/>
    </row>
    <row r="56" spans="1:4" x14ac:dyDescent="0.35">
      <c r="A56" s="73" t="s">
        <v>5</v>
      </c>
      <c r="B56" t="s">
        <v>29</v>
      </c>
      <c r="D56" s="83"/>
    </row>
    <row r="57" spans="1:4" x14ac:dyDescent="0.35">
      <c r="A57" s="73" t="s">
        <v>5</v>
      </c>
      <c r="B57" t="s">
        <v>171</v>
      </c>
      <c r="D57" s="83"/>
    </row>
    <row r="58" spans="1:4" x14ac:dyDescent="0.35">
      <c r="A58" s="73" t="s">
        <v>5</v>
      </c>
      <c r="B58" t="s">
        <v>168</v>
      </c>
      <c r="D58" s="83"/>
    </row>
    <row r="59" spans="1:4" x14ac:dyDescent="0.35">
      <c r="A59" s="73" t="s">
        <v>5</v>
      </c>
      <c r="B59" t="s">
        <v>565</v>
      </c>
    </row>
    <row r="60" spans="1:4" x14ac:dyDescent="0.35">
      <c r="A60" s="73" t="s">
        <v>5</v>
      </c>
      <c r="B60" t="s">
        <v>2657</v>
      </c>
    </row>
    <row r="61" spans="1:4" x14ac:dyDescent="0.35">
      <c r="A61" s="73" t="s">
        <v>5</v>
      </c>
      <c r="B61" t="s">
        <v>3303</v>
      </c>
    </row>
    <row r="62" spans="1:4" x14ac:dyDescent="0.35">
      <c r="A62" s="73" t="s">
        <v>5</v>
      </c>
      <c r="B62" t="s">
        <v>3304</v>
      </c>
    </row>
    <row r="63" spans="1:4" x14ac:dyDescent="0.35">
      <c r="A63" s="73" t="s">
        <v>5</v>
      </c>
      <c r="B63" t="s">
        <v>30</v>
      </c>
    </row>
    <row r="64" spans="1:4" x14ac:dyDescent="0.35">
      <c r="A64" s="73" t="s">
        <v>5</v>
      </c>
      <c r="B64" t="s">
        <v>3305</v>
      </c>
    </row>
    <row r="65" spans="1:2" x14ac:dyDescent="0.35">
      <c r="A65" s="73" t="s">
        <v>95</v>
      </c>
      <c r="B65" t="s">
        <v>2480</v>
      </c>
    </row>
    <row r="66" spans="1:2" x14ac:dyDescent="0.35">
      <c r="A66" s="73" t="s">
        <v>95</v>
      </c>
      <c r="B66" t="s">
        <v>35</v>
      </c>
    </row>
    <row r="67" spans="1:2" x14ac:dyDescent="0.35">
      <c r="A67" s="73" t="s">
        <v>95</v>
      </c>
      <c r="B67" t="s">
        <v>31</v>
      </c>
    </row>
    <row r="68" spans="1:2" x14ac:dyDescent="0.35">
      <c r="A68" s="73" t="s">
        <v>95</v>
      </c>
      <c r="B68" t="s">
        <v>36</v>
      </c>
    </row>
    <row r="69" spans="1:2" x14ac:dyDescent="0.35">
      <c r="A69" s="73" t="s">
        <v>95</v>
      </c>
      <c r="B69" t="s">
        <v>37</v>
      </c>
    </row>
    <row r="70" spans="1:2" x14ac:dyDescent="0.35">
      <c r="A70" s="73" t="s">
        <v>95</v>
      </c>
      <c r="B70" t="s">
        <v>2763</v>
      </c>
    </row>
    <row r="71" spans="1:2" x14ac:dyDescent="0.35">
      <c r="A71" s="73" t="s">
        <v>95</v>
      </c>
      <c r="B71" t="s">
        <v>2765</v>
      </c>
    </row>
    <row r="72" spans="1:2" x14ac:dyDescent="0.35">
      <c r="A72" s="73" t="s">
        <v>95</v>
      </c>
      <c r="B72" t="s">
        <v>39</v>
      </c>
    </row>
    <row r="73" spans="1:2" x14ac:dyDescent="0.35">
      <c r="A73" s="73" t="s">
        <v>95</v>
      </c>
      <c r="B73" t="s">
        <v>2767</v>
      </c>
    </row>
    <row r="74" spans="1:2" x14ac:dyDescent="0.35">
      <c r="A74" s="73" t="s">
        <v>95</v>
      </c>
      <c r="B74" t="s">
        <v>2769</v>
      </c>
    </row>
    <row r="75" spans="1:2" x14ac:dyDescent="0.35">
      <c r="A75" s="73" t="s">
        <v>95</v>
      </c>
      <c r="B75" t="s">
        <v>34</v>
      </c>
    </row>
    <row r="76" spans="1:2" x14ac:dyDescent="0.35">
      <c r="A76" s="73" t="s">
        <v>95</v>
      </c>
      <c r="B76" t="s">
        <v>520</v>
      </c>
    </row>
    <row r="77" spans="1:2" x14ac:dyDescent="0.35">
      <c r="A77" s="73" t="s">
        <v>95</v>
      </c>
      <c r="B77" t="s">
        <v>2771</v>
      </c>
    </row>
    <row r="78" spans="1:2" x14ac:dyDescent="0.35">
      <c r="A78" s="73" t="s">
        <v>95</v>
      </c>
      <c r="B78" t="s">
        <v>522</v>
      </c>
    </row>
    <row r="79" spans="1:2" x14ac:dyDescent="0.35">
      <c r="A79" s="73" t="s">
        <v>95</v>
      </c>
      <c r="B79" t="s">
        <v>524</v>
      </c>
    </row>
    <row r="80" spans="1:2" x14ac:dyDescent="0.35">
      <c r="A80" s="73" t="s">
        <v>95</v>
      </c>
      <c r="B80" t="s">
        <v>2773</v>
      </c>
    </row>
    <row r="81" spans="1:2" x14ac:dyDescent="0.35">
      <c r="A81" s="73" t="s">
        <v>95</v>
      </c>
      <c r="B81" t="s">
        <v>2775</v>
      </c>
    </row>
    <row r="82" spans="1:2" x14ac:dyDescent="0.35">
      <c r="A82" s="73" t="s">
        <v>95</v>
      </c>
      <c r="B82" t="s">
        <v>1059</v>
      </c>
    </row>
    <row r="83" spans="1:2" x14ac:dyDescent="0.35">
      <c r="A83" s="73" t="s">
        <v>95</v>
      </c>
      <c r="B83" t="s">
        <v>2778</v>
      </c>
    </row>
    <row r="84" spans="1:2" x14ac:dyDescent="0.35">
      <c r="A84" s="73" t="s">
        <v>95</v>
      </c>
      <c r="B84" t="s">
        <v>2780</v>
      </c>
    </row>
    <row r="85" spans="1:2" x14ac:dyDescent="0.35">
      <c r="A85" s="73" t="s">
        <v>95</v>
      </c>
      <c r="B85" t="s">
        <v>2782</v>
      </c>
    </row>
    <row r="86" spans="1:2" x14ac:dyDescent="0.35">
      <c r="A86" s="73" t="s">
        <v>95</v>
      </c>
      <c r="B86" t="s">
        <v>2784</v>
      </c>
    </row>
    <row r="87" spans="1:2" x14ac:dyDescent="0.35">
      <c r="A87" s="73" t="s">
        <v>95</v>
      </c>
      <c r="B87" t="s">
        <v>2989</v>
      </c>
    </row>
    <row r="88" spans="1:2" x14ac:dyDescent="0.35">
      <c r="A88" s="73" t="s">
        <v>95</v>
      </c>
      <c r="B88" t="s">
        <v>2788</v>
      </c>
    </row>
    <row r="89" spans="1:2" x14ac:dyDescent="0.35">
      <c r="A89" s="73" t="s">
        <v>95</v>
      </c>
      <c r="B89" t="s">
        <v>526</v>
      </c>
    </row>
    <row r="90" spans="1:2" x14ac:dyDescent="0.35">
      <c r="A90" s="73" t="s">
        <v>95</v>
      </c>
      <c r="B90" t="s">
        <v>3289</v>
      </c>
    </row>
    <row r="91" spans="1:2" x14ac:dyDescent="0.35">
      <c r="A91" s="73" t="s">
        <v>95</v>
      </c>
      <c r="B91" t="s">
        <v>3290</v>
      </c>
    </row>
    <row r="92" spans="1:2" x14ac:dyDescent="0.35">
      <c r="A92" s="73" t="s">
        <v>95</v>
      </c>
      <c r="B92" t="s">
        <v>177</v>
      </c>
    </row>
    <row r="93" spans="1:2" x14ac:dyDescent="0.35">
      <c r="A93" s="73" t="s">
        <v>95</v>
      </c>
      <c r="B93" t="s">
        <v>3291</v>
      </c>
    </row>
    <row r="94" spans="1:2" x14ac:dyDescent="0.35">
      <c r="A94" s="73" t="s">
        <v>95</v>
      </c>
      <c r="B94" t="s">
        <v>33</v>
      </c>
    </row>
    <row r="95" spans="1:2" x14ac:dyDescent="0.35">
      <c r="A95" s="73" t="s">
        <v>95</v>
      </c>
      <c r="B95" t="s">
        <v>2823</v>
      </c>
    </row>
    <row r="96" spans="1:2" x14ac:dyDescent="0.35">
      <c r="A96" s="73" t="s">
        <v>95</v>
      </c>
      <c r="B96" t="s">
        <v>100</v>
      </c>
    </row>
    <row r="97" spans="1:2" x14ac:dyDescent="0.35">
      <c r="A97" s="73" t="s">
        <v>95</v>
      </c>
      <c r="B97" t="s">
        <v>102</v>
      </c>
    </row>
    <row r="98" spans="1:2" x14ac:dyDescent="0.35">
      <c r="A98" s="73" t="s">
        <v>95</v>
      </c>
      <c r="B98" t="s">
        <v>3260</v>
      </c>
    </row>
    <row r="99" spans="1:2" x14ac:dyDescent="0.35">
      <c r="A99" s="73" t="s">
        <v>95</v>
      </c>
      <c r="B99" t="s">
        <v>3292</v>
      </c>
    </row>
    <row r="100" spans="1:2" x14ac:dyDescent="0.35">
      <c r="A100" s="73" t="s">
        <v>3261</v>
      </c>
      <c r="B100" t="s">
        <v>2861</v>
      </c>
    </row>
    <row r="101" spans="1:2" x14ac:dyDescent="0.35">
      <c r="A101" s="73" t="s">
        <v>3261</v>
      </c>
      <c r="B101" t="s">
        <v>2863</v>
      </c>
    </row>
    <row r="102" spans="1:2" x14ac:dyDescent="0.35">
      <c r="A102" s="73" t="s">
        <v>3261</v>
      </c>
      <c r="B102" t="s">
        <v>178</v>
      </c>
    </row>
    <row r="103" spans="1:2" x14ac:dyDescent="0.35">
      <c r="A103" s="73" t="s">
        <v>3261</v>
      </c>
      <c r="B103" t="s">
        <v>2865</v>
      </c>
    </row>
    <row r="104" spans="1:2" x14ac:dyDescent="0.35">
      <c r="A104" s="73" t="s">
        <v>3261</v>
      </c>
      <c r="B104" t="s">
        <v>2867</v>
      </c>
    </row>
    <row r="105" spans="1:2" x14ac:dyDescent="0.35">
      <c r="A105" s="73" t="s">
        <v>3261</v>
      </c>
      <c r="B105" t="s">
        <v>3307</v>
      </c>
    </row>
    <row r="106" spans="1:2" x14ac:dyDescent="0.35">
      <c r="A106" s="73" t="s">
        <v>3261</v>
      </c>
      <c r="B106" t="s">
        <v>41</v>
      </c>
    </row>
    <row r="107" spans="1:2" x14ac:dyDescent="0.35">
      <c r="A107" s="73" t="s">
        <v>3261</v>
      </c>
      <c r="B107" t="s">
        <v>2870</v>
      </c>
    </row>
    <row r="108" spans="1:2" x14ac:dyDescent="0.35">
      <c r="A108" s="73" t="s">
        <v>111</v>
      </c>
      <c r="B108" t="s">
        <v>40</v>
      </c>
    </row>
    <row r="109" spans="1:2" x14ac:dyDescent="0.35">
      <c r="A109" s="73" t="s">
        <v>111</v>
      </c>
      <c r="B109" t="s">
        <v>38</v>
      </c>
    </row>
    <row r="110" spans="1:2" x14ac:dyDescent="0.35">
      <c r="A110" s="73" t="s">
        <v>111</v>
      </c>
      <c r="B110" t="s">
        <v>2529</v>
      </c>
    </row>
    <row r="111" spans="1:2" x14ac:dyDescent="0.35">
      <c r="A111" s="73" t="s">
        <v>111</v>
      </c>
      <c r="B111" t="s">
        <v>2873</v>
      </c>
    </row>
    <row r="112" spans="1:2" x14ac:dyDescent="0.35">
      <c r="A112" s="73" t="s">
        <v>111</v>
      </c>
      <c r="B112" t="s">
        <v>3308</v>
      </c>
    </row>
    <row r="113" spans="1:2" x14ac:dyDescent="0.35">
      <c r="A113" s="73" t="s">
        <v>111</v>
      </c>
      <c r="B113" t="s">
        <v>2877</v>
      </c>
    </row>
    <row r="114" spans="1:2" x14ac:dyDescent="0.35">
      <c r="A114" s="73" t="s">
        <v>111</v>
      </c>
      <c r="B114" t="s">
        <v>2879</v>
      </c>
    </row>
    <row r="115" spans="1:2" x14ac:dyDescent="0.35">
      <c r="A115" s="73" t="s">
        <v>111</v>
      </c>
      <c r="B115" t="s">
        <v>3309</v>
      </c>
    </row>
    <row r="116" spans="1:2" x14ac:dyDescent="0.35">
      <c r="A116" s="73" t="s">
        <v>111</v>
      </c>
      <c r="B116" t="s">
        <v>3310</v>
      </c>
    </row>
    <row r="117" spans="1:2" x14ac:dyDescent="0.35">
      <c r="A117" s="73" t="s">
        <v>6</v>
      </c>
      <c r="B117" t="s">
        <v>3262</v>
      </c>
    </row>
    <row r="118" spans="1:2" x14ac:dyDescent="0.35">
      <c r="A118" s="73" t="s">
        <v>6</v>
      </c>
      <c r="B118" t="s">
        <v>42</v>
      </c>
    </row>
    <row r="119" spans="1:2" x14ac:dyDescent="0.35">
      <c r="A119" s="73" t="s">
        <v>6</v>
      </c>
      <c r="B119" t="s">
        <v>1047</v>
      </c>
    </row>
    <row r="120" spans="1:2" x14ac:dyDescent="0.35">
      <c r="A120" s="73" t="s">
        <v>6</v>
      </c>
      <c r="B120" t="s">
        <v>1049</v>
      </c>
    </row>
    <row r="121" spans="1:2" x14ac:dyDescent="0.35">
      <c r="A121" s="73" t="s">
        <v>6</v>
      </c>
      <c r="B121" t="s">
        <v>1051</v>
      </c>
    </row>
    <row r="122" spans="1:2" x14ac:dyDescent="0.35">
      <c r="A122" s="73" t="s">
        <v>6</v>
      </c>
      <c r="B122" t="s">
        <v>1053</v>
      </c>
    </row>
    <row r="123" spans="1:2" x14ac:dyDescent="0.35">
      <c r="A123" s="73" t="s">
        <v>6</v>
      </c>
      <c r="B123" t="s">
        <v>1055</v>
      </c>
    </row>
    <row r="124" spans="1:2" x14ac:dyDescent="0.35">
      <c r="A124" s="73" t="s">
        <v>6</v>
      </c>
      <c r="B124" t="s">
        <v>289</v>
      </c>
    </row>
    <row r="125" spans="1:2" x14ac:dyDescent="0.35">
      <c r="A125" s="73" t="s">
        <v>6</v>
      </c>
      <c r="B125" t="s">
        <v>338</v>
      </c>
    </row>
    <row r="126" spans="1:2" x14ac:dyDescent="0.35">
      <c r="A126" s="73" t="s">
        <v>6</v>
      </c>
      <c r="B126" t="s">
        <v>1059</v>
      </c>
    </row>
    <row r="127" spans="1:2" x14ac:dyDescent="0.35">
      <c r="A127" s="73" t="s">
        <v>6</v>
      </c>
      <c r="B127" t="s">
        <v>1060</v>
      </c>
    </row>
    <row r="128" spans="1:2" x14ac:dyDescent="0.35">
      <c r="A128" s="73" t="s">
        <v>6</v>
      </c>
      <c r="B128" t="s">
        <v>1062</v>
      </c>
    </row>
    <row r="129" spans="1:2" x14ac:dyDescent="0.35">
      <c r="A129" s="73" t="s">
        <v>6</v>
      </c>
      <c r="B129" t="s">
        <v>1064</v>
      </c>
    </row>
    <row r="130" spans="1:2" x14ac:dyDescent="0.35">
      <c r="A130" s="73" t="s">
        <v>6</v>
      </c>
      <c r="B130" t="s">
        <v>1066</v>
      </c>
    </row>
    <row r="131" spans="1:2" x14ac:dyDescent="0.35">
      <c r="A131" s="73" t="s">
        <v>6</v>
      </c>
      <c r="B131" t="s">
        <v>1068</v>
      </c>
    </row>
    <row r="132" spans="1:2" x14ac:dyDescent="0.35">
      <c r="A132" s="73" t="s">
        <v>6</v>
      </c>
      <c r="B132" t="s">
        <v>1070</v>
      </c>
    </row>
    <row r="133" spans="1:2" x14ac:dyDescent="0.35">
      <c r="A133" s="73" t="s">
        <v>6</v>
      </c>
      <c r="B133" t="s">
        <v>1072</v>
      </c>
    </row>
    <row r="134" spans="1:2" x14ac:dyDescent="0.35">
      <c r="A134" s="73" t="s">
        <v>6</v>
      </c>
      <c r="B134" t="s">
        <v>1074</v>
      </c>
    </row>
    <row r="135" spans="1:2" x14ac:dyDescent="0.35">
      <c r="A135" s="73" t="s">
        <v>6</v>
      </c>
      <c r="B135" t="s">
        <v>1076</v>
      </c>
    </row>
    <row r="136" spans="1:2" x14ac:dyDescent="0.35">
      <c r="A136" s="73" t="s">
        <v>6</v>
      </c>
      <c r="B136" t="s">
        <v>1078</v>
      </c>
    </row>
    <row r="137" spans="1:2" x14ac:dyDescent="0.35">
      <c r="A137" s="73" t="s">
        <v>6</v>
      </c>
      <c r="B137" t="s">
        <v>3311</v>
      </c>
    </row>
    <row r="138" spans="1:2" x14ac:dyDescent="0.35">
      <c r="A138" s="73" t="s">
        <v>6</v>
      </c>
      <c r="B138" t="s">
        <v>1082</v>
      </c>
    </row>
  </sheetData>
  <sortState ref="L2:M16">
    <sortCondition ref="L2:L16"/>
  </sortState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:E1931"/>
  <sheetViews>
    <sheetView topLeftCell="A1899" workbookViewId="0">
      <selection activeCell="E1931" sqref="E1931"/>
    </sheetView>
  </sheetViews>
  <sheetFormatPr defaultRowHeight="14.5" x14ac:dyDescent="0.35"/>
  <cols>
    <col min="1" max="1" width="13.26953125" bestFit="1" customWidth="1"/>
    <col min="2" max="2" width="16" bestFit="1" customWidth="1"/>
    <col min="5" max="5" width="64" bestFit="1" customWidth="1"/>
  </cols>
  <sheetData>
    <row r="1" spans="1:5" x14ac:dyDescent="0.35">
      <c r="A1" t="s">
        <v>574</v>
      </c>
      <c r="B1" t="s">
        <v>575</v>
      </c>
      <c r="C1" t="s">
        <v>576</v>
      </c>
      <c r="D1" t="s">
        <v>577</v>
      </c>
      <c r="E1" t="s">
        <v>578</v>
      </c>
    </row>
    <row r="2" spans="1:5" x14ac:dyDescent="0.35">
      <c r="A2" t="s">
        <v>579</v>
      </c>
      <c r="B2">
        <v>1</v>
      </c>
      <c r="C2">
        <v>1</v>
      </c>
      <c r="D2">
        <v>1</v>
      </c>
      <c r="E2" t="s">
        <v>194</v>
      </c>
    </row>
    <row r="3" spans="1:5" x14ac:dyDescent="0.35">
      <c r="A3" t="s">
        <v>579</v>
      </c>
      <c r="B3" t="s">
        <v>198</v>
      </c>
      <c r="C3">
        <v>2</v>
      </c>
      <c r="D3">
        <v>2</v>
      </c>
      <c r="E3" t="s">
        <v>199</v>
      </c>
    </row>
    <row r="4" spans="1:5" x14ac:dyDescent="0.35">
      <c r="A4" t="s">
        <v>579</v>
      </c>
      <c r="B4" t="s">
        <v>200</v>
      </c>
      <c r="C4">
        <v>3</v>
      </c>
      <c r="D4">
        <v>3</v>
      </c>
      <c r="E4" t="s">
        <v>201</v>
      </c>
    </row>
    <row r="5" spans="1:5" x14ac:dyDescent="0.35">
      <c r="A5" t="s">
        <v>579</v>
      </c>
      <c r="B5" t="s">
        <v>202</v>
      </c>
      <c r="C5">
        <v>4</v>
      </c>
      <c r="D5">
        <v>4</v>
      </c>
      <c r="E5" t="s">
        <v>203</v>
      </c>
    </row>
    <row r="6" spans="1:5" x14ac:dyDescent="0.35">
      <c r="A6" t="s">
        <v>579</v>
      </c>
      <c r="B6" t="s">
        <v>580</v>
      </c>
      <c r="C6">
        <v>5</v>
      </c>
      <c r="D6">
        <v>422</v>
      </c>
      <c r="E6" t="s">
        <v>581</v>
      </c>
    </row>
    <row r="7" spans="1:5" x14ac:dyDescent="0.35">
      <c r="A7" t="s">
        <v>582</v>
      </c>
      <c r="B7" t="s">
        <v>583</v>
      </c>
      <c r="C7">
        <v>6</v>
      </c>
      <c r="D7">
        <v>5</v>
      </c>
      <c r="E7" t="s">
        <v>584</v>
      </c>
    </row>
    <row r="8" spans="1:5" x14ac:dyDescent="0.35">
      <c r="A8" t="s">
        <v>582</v>
      </c>
      <c r="B8" t="s">
        <v>585</v>
      </c>
      <c r="C8">
        <v>6</v>
      </c>
      <c r="D8">
        <v>423</v>
      </c>
      <c r="E8" t="s">
        <v>586</v>
      </c>
    </row>
    <row r="9" spans="1:5" x14ac:dyDescent="0.35">
      <c r="A9" t="s">
        <v>582</v>
      </c>
      <c r="B9" t="s">
        <v>587</v>
      </c>
      <c r="C9">
        <v>6</v>
      </c>
      <c r="D9">
        <v>424</v>
      </c>
      <c r="E9" t="s">
        <v>588</v>
      </c>
    </row>
    <row r="10" spans="1:5" x14ac:dyDescent="0.35">
      <c r="A10" t="s">
        <v>582</v>
      </c>
      <c r="B10" t="s">
        <v>589</v>
      </c>
      <c r="C10">
        <v>6</v>
      </c>
      <c r="D10">
        <v>425</v>
      </c>
      <c r="E10" t="s">
        <v>590</v>
      </c>
    </row>
    <row r="11" spans="1:5" x14ac:dyDescent="0.35">
      <c r="A11" t="s">
        <v>579</v>
      </c>
      <c r="B11" t="s">
        <v>204</v>
      </c>
      <c r="C11">
        <v>5</v>
      </c>
      <c r="D11">
        <v>6</v>
      </c>
      <c r="E11" t="s">
        <v>205</v>
      </c>
    </row>
    <row r="12" spans="1:5" x14ac:dyDescent="0.35">
      <c r="A12" t="s">
        <v>582</v>
      </c>
      <c r="B12" t="s">
        <v>591</v>
      </c>
      <c r="C12">
        <v>6</v>
      </c>
      <c r="D12">
        <v>426</v>
      </c>
      <c r="E12" t="s">
        <v>592</v>
      </c>
    </row>
    <row r="13" spans="1:5" x14ac:dyDescent="0.35">
      <c r="A13" t="s">
        <v>582</v>
      </c>
      <c r="B13" t="s">
        <v>593</v>
      </c>
      <c r="C13">
        <v>6</v>
      </c>
      <c r="D13">
        <v>427</v>
      </c>
      <c r="E13" t="s">
        <v>594</v>
      </c>
    </row>
    <row r="14" spans="1:5" x14ac:dyDescent="0.35">
      <c r="A14" t="s">
        <v>582</v>
      </c>
      <c r="B14" t="s">
        <v>595</v>
      </c>
      <c r="C14">
        <v>6</v>
      </c>
      <c r="D14">
        <v>428</v>
      </c>
      <c r="E14" t="s">
        <v>596</v>
      </c>
    </row>
    <row r="15" spans="1:5" x14ac:dyDescent="0.35">
      <c r="A15" t="s">
        <v>582</v>
      </c>
      <c r="B15" t="s">
        <v>597</v>
      </c>
      <c r="C15">
        <v>6</v>
      </c>
      <c r="D15">
        <v>429</v>
      </c>
      <c r="E15" t="s">
        <v>598</v>
      </c>
    </row>
    <row r="16" spans="1:5" x14ac:dyDescent="0.35">
      <c r="A16" t="s">
        <v>582</v>
      </c>
      <c r="B16" t="s">
        <v>599</v>
      </c>
      <c r="C16">
        <v>6</v>
      </c>
      <c r="D16">
        <v>430</v>
      </c>
      <c r="E16" t="s">
        <v>600</v>
      </c>
    </row>
    <row r="17" spans="1:5" x14ac:dyDescent="0.35">
      <c r="A17" t="s">
        <v>582</v>
      </c>
      <c r="B17" t="s">
        <v>601</v>
      </c>
      <c r="C17">
        <v>6</v>
      </c>
      <c r="D17">
        <v>431</v>
      </c>
      <c r="E17" t="s">
        <v>602</v>
      </c>
    </row>
    <row r="18" spans="1:5" x14ac:dyDescent="0.35">
      <c r="A18" t="s">
        <v>582</v>
      </c>
      <c r="B18" t="s">
        <v>603</v>
      </c>
      <c r="C18">
        <v>6</v>
      </c>
      <c r="D18">
        <v>432</v>
      </c>
      <c r="E18" t="s">
        <v>604</v>
      </c>
    </row>
    <row r="19" spans="1:5" x14ac:dyDescent="0.35">
      <c r="A19" t="s">
        <v>582</v>
      </c>
      <c r="B19" t="s">
        <v>605</v>
      </c>
      <c r="C19">
        <v>6</v>
      </c>
      <c r="D19">
        <v>433</v>
      </c>
      <c r="E19" t="s">
        <v>606</v>
      </c>
    </row>
    <row r="20" spans="1:5" x14ac:dyDescent="0.35">
      <c r="A20" t="s">
        <v>582</v>
      </c>
      <c r="B20" t="s">
        <v>607</v>
      </c>
      <c r="C20">
        <v>6</v>
      </c>
      <c r="D20">
        <v>434</v>
      </c>
      <c r="E20" t="s">
        <v>608</v>
      </c>
    </row>
    <row r="21" spans="1:5" x14ac:dyDescent="0.35">
      <c r="A21" t="s">
        <v>582</v>
      </c>
      <c r="B21" t="s">
        <v>609</v>
      </c>
      <c r="C21">
        <v>6</v>
      </c>
      <c r="D21">
        <v>435</v>
      </c>
      <c r="E21" t="s">
        <v>610</v>
      </c>
    </row>
    <row r="22" spans="1:5" x14ac:dyDescent="0.35">
      <c r="A22" t="s">
        <v>582</v>
      </c>
      <c r="B22" t="s">
        <v>611</v>
      </c>
      <c r="C22">
        <v>6</v>
      </c>
      <c r="D22">
        <v>436</v>
      </c>
      <c r="E22" t="s">
        <v>612</v>
      </c>
    </row>
    <row r="23" spans="1:5" x14ac:dyDescent="0.35">
      <c r="A23" t="s">
        <v>582</v>
      </c>
      <c r="B23" t="s">
        <v>207</v>
      </c>
      <c r="C23">
        <v>6</v>
      </c>
      <c r="D23">
        <v>437</v>
      </c>
      <c r="E23" t="s">
        <v>208</v>
      </c>
    </row>
    <row r="24" spans="1:5" x14ac:dyDescent="0.35">
      <c r="A24" t="s">
        <v>582</v>
      </c>
      <c r="B24" t="s">
        <v>613</v>
      </c>
      <c r="C24">
        <v>6</v>
      </c>
      <c r="D24">
        <v>438</v>
      </c>
      <c r="E24" t="s">
        <v>614</v>
      </c>
    </row>
    <row r="25" spans="1:5" x14ac:dyDescent="0.35">
      <c r="A25" t="s">
        <v>582</v>
      </c>
      <c r="B25" t="s">
        <v>615</v>
      </c>
      <c r="C25">
        <v>6</v>
      </c>
      <c r="D25">
        <v>439</v>
      </c>
      <c r="E25" t="s">
        <v>616</v>
      </c>
    </row>
    <row r="26" spans="1:5" x14ac:dyDescent="0.35">
      <c r="A26" t="s">
        <v>582</v>
      </c>
      <c r="B26" t="s">
        <v>617</v>
      </c>
      <c r="C26">
        <v>6</v>
      </c>
      <c r="D26">
        <v>440</v>
      </c>
      <c r="E26" t="s">
        <v>618</v>
      </c>
    </row>
    <row r="27" spans="1:5" x14ac:dyDescent="0.35">
      <c r="A27" t="s">
        <v>582</v>
      </c>
      <c r="B27" t="s">
        <v>619</v>
      </c>
      <c r="C27">
        <v>6</v>
      </c>
      <c r="D27">
        <v>2058</v>
      </c>
      <c r="E27" t="s">
        <v>620</v>
      </c>
    </row>
    <row r="28" spans="1:5" x14ac:dyDescent="0.35">
      <c r="A28" t="s">
        <v>582</v>
      </c>
      <c r="B28" t="s">
        <v>621</v>
      </c>
      <c r="C28">
        <v>6</v>
      </c>
      <c r="D28">
        <v>2059</v>
      </c>
      <c r="E28" t="s">
        <v>622</v>
      </c>
    </row>
    <row r="29" spans="1:5" x14ac:dyDescent="0.35">
      <c r="A29" t="s">
        <v>582</v>
      </c>
      <c r="B29" t="s">
        <v>623</v>
      </c>
      <c r="C29">
        <v>6</v>
      </c>
      <c r="D29">
        <v>2060</v>
      </c>
      <c r="E29" t="s">
        <v>624</v>
      </c>
    </row>
    <row r="30" spans="1:5" x14ac:dyDescent="0.35">
      <c r="A30" t="s">
        <v>582</v>
      </c>
      <c r="B30" t="s">
        <v>625</v>
      </c>
      <c r="C30">
        <v>6</v>
      </c>
      <c r="D30">
        <v>2236</v>
      </c>
      <c r="E30" t="s">
        <v>626</v>
      </c>
    </row>
    <row r="31" spans="1:5" x14ac:dyDescent="0.35">
      <c r="A31" t="s">
        <v>582</v>
      </c>
      <c r="B31" t="s">
        <v>627</v>
      </c>
      <c r="C31">
        <v>6</v>
      </c>
      <c r="D31">
        <v>2237</v>
      </c>
      <c r="E31" t="s">
        <v>628</v>
      </c>
    </row>
    <row r="32" spans="1:5" x14ac:dyDescent="0.35">
      <c r="A32" t="s">
        <v>582</v>
      </c>
      <c r="B32" t="s">
        <v>629</v>
      </c>
      <c r="C32">
        <v>6</v>
      </c>
      <c r="D32">
        <v>2238</v>
      </c>
      <c r="E32" t="s">
        <v>630</v>
      </c>
    </row>
    <row r="33" spans="1:5" x14ac:dyDescent="0.35">
      <c r="A33" t="s">
        <v>582</v>
      </c>
      <c r="B33" t="s">
        <v>631</v>
      </c>
      <c r="C33">
        <v>6</v>
      </c>
      <c r="D33">
        <v>2239</v>
      </c>
      <c r="E33" t="s">
        <v>632</v>
      </c>
    </row>
    <row r="34" spans="1:5" x14ac:dyDescent="0.35">
      <c r="A34" t="s">
        <v>582</v>
      </c>
      <c r="B34" t="s">
        <v>633</v>
      </c>
      <c r="C34">
        <v>6</v>
      </c>
      <c r="D34">
        <v>2301</v>
      </c>
      <c r="E34" t="s">
        <v>634</v>
      </c>
    </row>
    <row r="35" spans="1:5" x14ac:dyDescent="0.35">
      <c r="A35" t="s">
        <v>582</v>
      </c>
      <c r="B35" t="s">
        <v>635</v>
      </c>
      <c r="C35">
        <v>6</v>
      </c>
      <c r="D35">
        <v>2302</v>
      </c>
      <c r="E35" t="s">
        <v>636</v>
      </c>
    </row>
    <row r="36" spans="1:5" x14ac:dyDescent="0.35">
      <c r="A36" t="s">
        <v>582</v>
      </c>
      <c r="B36" t="s">
        <v>637</v>
      </c>
      <c r="C36">
        <v>6</v>
      </c>
      <c r="D36">
        <v>2307</v>
      </c>
      <c r="E36" t="s">
        <v>638</v>
      </c>
    </row>
    <row r="37" spans="1:5" x14ac:dyDescent="0.35">
      <c r="A37" t="s">
        <v>582</v>
      </c>
      <c r="B37" t="s">
        <v>639</v>
      </c>
      <c r="C37">
        <v>6</v>
      </c>
      <c r="D37">
        <v>2318</v>
      </c>
      <c r="E37" t="s">
        <v>640</v>
      </c>
    </row>
    <row r="38" spans="1:5" x14ac:dyDescent="0.35">
      <c r="A38" t="s">
        <v>579</v>
      </c>
      <c r="B38" t="s">
        <v>539</v>
      </c>
      <c r="C38">
        <v>5</v>
      </c>
      <c r="D38">
        <v>8</v>
      </c>
      <c r="E38" t="s">
        <v>641</v>
      </c>
    </row>
    <row r="39" spans="1:5" x14ac:dyDescent="0.35">
      <c r="A39" t="s">
        <v>582</v>
      </c>
      <c r="B39" t="s">
        <v>541</v>
      </c>
      <c r="C39">
        <v>6</v>
      </c>
      <c r="D39">
        <v>441</v>
      </c>
      <c r="E39" t="s">
        <v>592</v>
      </c>
    </row>
    <row r="40" spans="1:5" x14ac:dyDescent="0.35">
      <c r="A40" t="s">
        <v>582</v>
      </c>
      <c r="B40" t="s">
        <v>642</v>
      </c>
      <c r="C40">
        <v>6</v>
      </c>
      <c r="D40">
        <v>442</v>
      </c>
      <c r="E40" t="s">
        <v>594</v>
      </c>
    </row>
    <row r="41" spans="1:5" x14ac:dyDescent="0.35">
      <c r="A41" t="s">
        <v>582</v>
      </c>
      <c r="B41" t="s">
        <v>643</v>
      </c>
      <c r="C41">
        <v>6</v>
      </c>
      <c r="D41">
        <v>443</v>
      </c>
      <c r="E41" t="s">
        <v>596</v>
      </c>
    </row>
    <row r="42" spans="1:5" x14ac:dyDescent="0.35">
      <c r="A42" t="s">
        <v>582</v>
      </c>
      <c r="B42" t="s">
        <v>644</v>
      </c>
      <c r="C42">
        <v>6</v>
      </c>
      <c r="D42">
        <v>444</v>
      </c>
      <c r="E42" t="s">
        <v>598</v>
      </c>
    </row>
    <row r="43" spans="1:5" x14ac:dyDescent="0.35">
      <c r="A43" t="s">
        <v>582</v>
      </c>
      <c r="B43" t="s">
        <v>645</v>
      </c>
      <c r="C43">
        <v>6</v>
      </c>
      <c r="D43">
        <v>445</v>
      </c>
      <c r="E43" t="s">
        <v>600</v>
      </c>
    </row>
    <row r="44" spans="1:5" x14ac:dyDescent="0.35">
      <c r="A44" t="s">
        <v>582</v>
      </c>
      <c r="B44" t="s">
        <v>646</v>
      </c>
      <c r="C44">
        <v>6</v>
      </c>
      <c r="D44">
        <v>446</v>
      </c>
      <c r="E44" t="s">
        <v>602</v>
      </c>
    </row>
    <row r="45" spans="1:5" x14ac:dyDescent="0.35">
      <c r="A45" t="s">
        <v>582</v>
      </c>
      <c r="B45" t="s">
        <v>647</v>
      </c>
      <c r="C45">
        <v>6</v>
      </c>
      <c r="D45">
        <v>447</v>
      </c>
      <c r="E45" t="s">
        <v>604</v>
      </c>
    </row>
    <row r="46" spans="1:5" x14ac:dyDescent="0.35">
      <c r="A46" t="s">
        <v>582</v>
      </c>
      <c r="B46" t="s">
        <v>648</v>
      </c>
      <c r="C46">
        <v>6</v>
      </c>
      <c r="D46">
        <v>448</v>
      </c>
      <c r="E46" t="s">
        <v>606</v>
      </c>
    </row>
    <row r="47" spans="1:5" x14ac:dyDescent="0.35">
      <c r="A47" t="s">
        <v>582</v>
      </c>
      <c r="B47" t="s">
        <v>649</v>
      </c>
      <c r="C47">
        <v>6</v>
      </c>
      <c r="D47">
        <v>449</v>
      </c>
      <c r="E47" t="s">
        <v>608</v>
      </c>
    </row>
    <row r="48" spans="1:5" x14ac:dyDescent="0.35">
      <c r="A48" t="s">
        <v>582</v>
      </c>
      <c r="B48" t="s">
        <v>650</v>
      </c>
      <c r="C48">
        <v>6</v>
      </c>
      <c r="D48">
        <v>450</v>
      </c>
      <c r="E48" t="s">
        <v>610</v>
      </c>
    </row>
    <row r="49" spans="1:5" x14ac:dyDescent="0.35">
      <c r="A49" t="s">
        <v>582</v>
      </c>
      <c r="B49" t="s">
        <v>651</v>
      </c>
      <c r="C49">
        <v>6</v>
      </c>
      <c r="D49">
        <v>451</v>
      </c>
      <c r="E49" t="s">
        <v>612</v>
      </c>
    </row>
    <row r="50" spans="1:5" x14ac:dyDescent="0.35">
      <c r="A50" t="s">
        <v>582</v>
      </c>
      <c r="B50" t="s">
        <v>652</v>
      </c>
      <c r="C50">
        <v>6</v>
      </c>
      <c r="D50">
        <v>452</v>
      </c>
      <c r="E50" t="s">
        <v>208</v>
      </c>
    </row>
    <row r="51" spans="1:5" x14ac:dyDescent="0.35">
      <c r="A51" t="s">
        <v>582</v>
      </c>
      <c r="B51" t="s">
        <v>653</v>
      </c>
      <c r="C51">
        <v>6</v>
      </c>
      <c r="D51">
        <v>453</v>
      </c>
      <c r="E51" t="s">
        <v>614</v>
      </c>
    </row>
    <row r="52" spans="1:5" x14ac:dyDescent="0.35">
      <c r="A52" t="s">
        <v>582</v>
      </c>
      <c r="B52" t="s">
        <v>654</v>
      </c>
      <c r="C52">
        <v>6</v>
      </c>
      <c r="D52">
        <v>454</v>
      </c>
      <c r="E52" t="s">
        <v>616</v>
      </c>
    </row>
    <row r="53" spans="1:5" x14ac:dyDescent="0.35">
      <c r="A53" t="s">
        <v>582</v>
      </c>
      <c r="B53" t="s">
        <v>655</v>
      </c>
      <c r="C53">
        <v>6</v>
      </c>
      <c r="D53">
        <v>455</v>
      </c>
      <c r="E53" t="s">
        <v>618</v>
      </c>
    </row>
    <row r="54" spans="1:5" x14ac:dyDescent="0.35">
      <c r="A54" t="s">
        <v>582</v>
      </c>
      <c r="B54" t="s">
        <v>656</v>
      </c>
      <c r="C54">
        <v>6</v>
      </c>
      <c r="D54">
        <v>2061</v>
      </c>
      <c r="E54" t="s">
        <v>620</v>
      </c>
    </row>
    <row r="55" spans="1:5" x14ac:dyDescent="0.35">
      <c r="A55" t="s">
        <v>582</v>
      </c>
      <c r="B55" t="s">
        <v>657</v>
      </c>
      <c r="C55">
        <v>6</v>
      </c>
      <c r="D55">
        <v>2062</v>
      </c>
      <c r="E55" t="s">
        <v>622</v>
      </c>
    </row>
    <row r="56" spans="1:5" x14ac:dyDescent="0.35">
      <c r="A56" t="s">
        <v>582</v>
      </c>
      <c r="B56" t="s">
        <v>658</v>
      </c>
      <c r="C56">
        <v>6</v>
      </c>
      <c r="D56">
        <v>2063</v>
      </c>
      <c r="E56" t="s">
        <v>624</v>
      </c>
    </row>
    <row r="57" spans="1:5" x14ac:dyDescent="0.35">
      <c r="A57" t="s">
        <v>582</v>
      </c>
      <c r="B57" t="s">
        <v>659</v>
      </c>
      <c r="C57">
        <v>6</v>
      </c>
      <c r="D57">
        <v>2240</v>
      </c>
      <c r="E57" t="s">
        <v>626</v>
      </c>
    </row>
    <row r="58" spans="1:5" x14ac:dyDescent="0.35">
      <c r="A58" t="s">
        <v>582</v>
      </c>
      <c r="B58" t="s">
        <v>660</v>
      </c>
      <c r="C58">
        <v>6</v>
      </c>
      <c r="D58">
        <v>2300</v>
      </c>
      <c r="E58" t="s">
        <v>634</v>
      </c>
    </row>
    <row r="59" spans="1:5" x14ac:dyDescent="0.35">
      <c r="A59" t="s">
        <v>582</v>
      </c>
      <c r="B59" t="s">
        <v>661</v>
      </c>
      <c r="C59">
        <v>6</v>
      </c>
      <c r="D59">
        <v>2303</v>
      </c>
      <c r="E59" t="s">
        <v>636</v>
      </c>
    </row>
    <row r="60" spans="1:5" x14ac:dyDescent="0.35">
      <c r="A60" t="s">
        <v>582</v>
      </c>
      <c r="B60" t="s">
        <v>662</v>
      </c>
      <c r="C60">
        <v>6</v>
      </c>
      <c r="D60">
        <v>2308</v>
      </c>
      <c r="E60" t="s">
        <v>638</v>
      </c>
    </row>
    <row r="61" spans="1:5" x14ac:dyDescent="0.35">
      <c r="A61" t="s">
        <v>582</v>
      </c>
      <c r="B61" t="s">
        <v>663</v>
      </c>
      <c r="C61">
        <v>6</v>
      </c>
      <c r="D61">
        <v>2319</v>
      </c>
      <c r="E61" t="s">
        <v>640</v>
      </c>
    </row>
    <row r="62" spans="1:5" x14ac:dyDescent="0.35">
      <c r="A62" t="s">
        <v>579</v>
      </c>
      <c r="B62" t="s">
        <v>664</v>
      </c>
      <c r="C62">
        <v>5</v>
      </c>
      <c r="D62">
        <v>456</v>
      </c>
      <c r="E62" t="s">
        <v>665</v>
      </c>
    </row>
    <row r="63" spans="1:5" x14ac:dyDescent="0.35">
      <c r="A63" t="s">
        <v>582</v>
      </c>
      <c r="B63" t="s">
        <v>666</v>
      </c>
      <c r="C63">
        <v>6</v>
      </c>
      <c r="D63">
        <v>457</v>
      </c>
      <c r="E63" t="s">
        <v>667</v>
      </c>
    </row>
    <row r="64" spans="1:5" x14ac:dyDescent="0.35">
      <c r="A64" t="s">
        <v>582</v>
      </c>
      <c r="B64" t="s">
        <v>668</v>
      </c>
      <c r="C64">
        <v>6</v>
      </c>
      <c r="D64">
        <v>458</v>
      </c>
      <c r="E64" t="s">
        <v>669</v>
      </c>
    </row>
    <row r="65" spans="1:5" x14ac:dyDescent="0.35">
      <c r="A65" t="s">
        <v>582</v>
      </c>
      <c r="B65" t="s">
        <v>670</v>
      </c>
      <c r="C65">
        <v>6</v>
      </c>
      <c r="D65">
        <v>2173</v>
      </c>
      <c r="E65" t="s">
        <v>671</v>
      </c>
    </row>
    <row r="66" spans="1:5" x14ac:dyDescent="0.35">
      <c r="A66" t="s">
        <v>579</v>
      </c>
      <c r="B66" t="s">
        <v>210</v>
      </c>
      <c r="C66">
        <v>4</v>
      </c>
      <c r="D66">
        <v>10</v>
      </c>
      <c r="E66" t="s">
        <v>211</v>
      </c>
    </row>
    <row r="67" spans="1:5" x14ac:dyDescent="0.35">
      <c r="A67" t="s">
        <v>579</v>
      </c>
      <c r="B67" t="s">
        <v>672</v>
      </c>
      <c r="C67">
        <v>5</v>
      </c>
      <c r="D67">
        <v>459</v>
      </c>
      <c r="E67" t="s">
        <v>673</v>
      </c>
    </row>
    <row r="68" spans="1:5" x14ac:dyDescent="0.35">
      <c r="A68" t="s">
        <v>582</v>
      </c>
      <c r="B68" t="s">
        <v>674</v>
      </c>
      <c r="C68">
        <v>6</v>
      </c>
      <c r="D68">
        <v>460</v>
      </c>
      <c r="E68" t="s">
        <v>675</v>
      </c>
    </row>
    <row r="69" spans="1:5" x14ac:dyDescent="0.35">
      <c r="A69" t="s">
        <v>582</v>
      </c>
      <c r="B69" t="s">
        <v>676</v>
      </c>
      <c r="C69">
        <v>6</v>
      </c>
      <c r="D69">
        <v>461</v>
      </c>
      <c r="E69" t="s">
        <v>677</v>
      </c>
    </row>
    <row r="70" spans="1:5" x14ac:dyDescent="0.35">
      <c r="A70" t="s">
        <v>582</v>
      </c>
      <c r="B70" t="s">
        <v>678</v>
      </c>
      <c r="C70">
        <v>6</v>
      </c>
      <c r="D70">
        <v>2213</v>
      </c>
      <c r="E70" t="s">
        <v>679</v>
      </c>
    </row>
    <row r="71" spans="1:5" x14ac:dyDescent="0.35">
      <c r="A71" t="s">
        <v>579</v>
      </c>
      <c r="B71" t="s">
        <v>680</v>
      </c>
      <c r="C71">
        <v>5</v>
      </c>
      <c r="D71">
        <v>11</v>
      </c>
      <c r="E71" t="s">
        <v>681</v>
      </c>
    </row>
    <row r="72" spans="1:5" x14ac:dyDescent="0.35">
      <c r="A72" t="s">
        <v>582</v>
      </c>
      <c r="B72" t="s">
        <v>682</v>
      </c>
      <c r="C72">
        <v>6</v>
      </c>
      <c r="D72">
        <v>462</v>
      </c>
      <c r="E72" t="s">
        <v>683</v>
      </c>
    </row>
    <row r="73" spans="1:5" x14ac:dyDescent="0.35">
      <c r="A73" t="s">
        <v>582</v>
      </c>
      <c r="B73" t="s">
        <v>684</v>
      </c>
      <c r="C73">
        <v>6</v>
      </c>
      <c r="D73">
        <v>463</v>
      </c>
      <c r="E73" t="s">
        <v>685</v>
      </c>
    </row>
    <row r="74" spans="1:5" x14ac:dyDescent="0.35">
      <c r="A74" t="s">
        <v>582</v>
      </c>
      <c r="B74" t="s">
        <v>686</v>
      </c>
      <c r="C74">
        <v>6</v>
      </c>
      <c r="D74">
        <v>2214</v>
      </c>
      <c r="E74" t="s">
        <v>687</v>
      </c>
    </row>
    <row r="75" spans="1:5" x14ac:dyDescent="0.35">
      <c r="A75" t="s">
        <v>582</v>
      </c>
      <c r="B75" t="s">
        <v>688</v>
      </c>
      <c r="C75">
        <v>6</v>
      </c>
      <c r="D75">
        <v>464</v>
      </c>
      <c r="E75" t="s">
        <v>689</v>
      </c>
    </row>
    <row r="76" spans="1:5" x14ac:dyDescent="0.35">
      <c r="A76" t="s">
        <v>579</v>
      </c>
      <c r="B76" t="s">
        <v>212</v>
      </c>
      <c r="C76">
        <v>5</v>
      </c>
      <c r="D76">
        <v>465</v>
      </c>
      <c r="E76" t="s">
        <v>213</v>
      </c>
    </row>
    <row r="77" spans="1:5" x14ac:dyDescent="0.35">
      <c r="A77" t="s">
        <v>582</v>
      </c>
      <c r="B77" t="s">
        <v>214</v>
      </c>
      <c r="C77">
        <v>6</v>
      </c>
      <c r="D77">
        <v>466</v>
      </c>
      <c r="E77" t="s">
        <v>215</v>
      </c>
    </row>
    <row r="78" spans="1:5" x14ac:dyDescent="0.35">
      <c r="A78" t="s">
        <v>582</v>
      </c>
      <c r="B78" t="s">
        <v>690</v>
      </c>
      <c r="C78">
        <v>6</v>
      </c>
      <c r="D78">
        <v>1970</v>
      </c>
      <c r="E78" t="s">
        <v>691</v>
      </c>
    </row>
    <row r="79" spans="1:5" x14ac:dyDescent="0.35">
      <c r="A79" t="s">
        <v>582</v>
      </c>
      <c r="B79" t="s">
        <v>692</v>
      </c>
      <c r="C79">
        <v>6</v>
      </c>
      <c r="D79">
        <v>2215</v>
      </c>
      <c r="E79" t="s">
        <v>693</v>
      </c>
    </row>
    <row r="80" spans="1:5" x14ac:dyDescent="0.35">
      <c r="A80" t="s">
        <v>582</v>
      </c>
      <c r="B80" t="s">
        <v>694</v>
      </c>
      <c r="C80">
        <v>6</v>
      </c>
      <c r="D80">
        <v>2563</v>
      </c>
      <c r="E80" t="s">
        <v>695</v>
      </c>
    </row>
    <row r="81" spans="1:5" x14ac:dyDescent="0.35">
      <c r="A81" t="s">
        <v>579</v>
      </c>
      <c r="B81" t="s">
        <v>696</v>
      </c>
      <c r="C81">
        <v>5</v>
      </c>
      <c r="D81">
        <v>467</v>
      </c>
      <c r="E81" t="s">
        <v>697</v>
      </c>
    </row>
    <row r="82" spans="1:5" x14ac:dyDescent="0.35">
      <c r="A82" t="s">
        <v>582</v>
      </c>
      <c r="B82" t="s">
        <v>698</v>
      </c>
      <c r="C82">
        <v>6</v>
      </c>
      <c r="D82">
        <v>468</v>
      </c>
      <c r="E82" t="s">
        <v>697</v>
      </c>
    </row>
    <row r="83" spans="1:5" x14ac:dyDescent="0.35">
      <c r="A83" t="s">
        <v>579</v>
      </c>
      <c r="B83" t="s">
        <v>699</v>
      </c>
      <c r="C83">
        <v>5</v>
      </c>
      <c r="D83">
        <v>16</v>
      </c>
      <c r="E83" t="s">
        <v>700</v>
      </c>
    </row>
    <row r="84" spans="1:5" x14ac:dyDescent="0.35">
      <c r="A84" t="s">
        <v>582</v>
      </c>
      <c r="B84" t="s">
        <v>701</v>
      </c>
      <c r="C84">
        <v>6</v>
      </c>
      <c r="D84">
        <v>469</v>
      </c>
      <c r="E84" t="s">
        <v>702</v>
      </c>
    </row>
    <row r="85" spans="1:5" x14ac:dyDescent="0.35">
      <c r="A85" t="s">
        <v>582</v>
      </c>
      <c r="B85" t="s">
        <v>703</v>
      </c>
      <c r="C85">
        <v>6</v>
      </c>
      <c r="D85">
        <v>470</v>
      </c>
      <c r="E85" t="s">
        <v>704</v>
      </c>
    </row>
    <row r="86" spans="1:5" x14ac:dyDescent="0.35">
      <c r="A86" t="s">
        <v>582</v>
      </c>
      <c r="B86" t="s">
        <v>705</v>
      </c>
      <c r="C86">
        <v>6</v>
      </c>
      <c r="D86">
        <v>2064</v>
      </c>
      <c r="E86" t="s">
        <v>706</v>
      </c>
    </row>
    <row r="87" spans="1:5" x14ac:dyDescent="0.35">
      <c r="A87" t="s">
        <v>579</v>
      </c>
      <c r="B87" t="s">
        <v>216</v>
      </c>
      <c r="C87">
        <v>5</v>
      </c>
      <c r="D87">
        <v>18</v>
      </c>
      <c r="E87" t="s">
        <v>217</v>
      </c>
    </row>
    <row r="88" spans="1:5" x14ac:dyDescent="0.35">
      <c r="A88" t="s">
        <v>582</v>
      </c>
      <c r="B88" t="s">
        <v>707</v>
      </c>
      <c r="C88">
        <v>6</v>
      </c>
      <c r="D88">
        <v>471</v>
      </c>
      <c r="E88" t="s">
        <v>708</v>
      </c>
    </row>
    <row r="89" spans="1:5" x14ac:dyDescent="0.35">
      <c r="A89" t="s">
        <v>582</v>
      </c>
      <c r="B89" t="s">
        <v>542</v>
      </c>
      <c r="C89">
        <v>6</v>
      </c>
      <c r="D89">
        <v>472</v>
      </c>
      <c r="E89" t="s">
        <v>543</v>
      </c>
    </row>
    <row r="90" spans="1:5" x14ac:dyDescent="0.35">
      <c r="A90" t="s">
        <v>582</v>
      </c>
      <c r="B90" t="s">
        <v>709</v>
      </c>
      <c r="C90">
        <v>6</v>
      </c>
      <c r="D90">
        <v>473</v>
      </c>
      <c r="E90" t="s">
        <v>710</v>
      </c>
    </row>
    <row r="91" spans="1:5" x14ac:dyDescent="0.35">
      <c r="A91" t="s">
        <v>582</v>
      </c>
      <c r="B91" t="s">
        <v>711</v>
      </c>
      <c r="C91">
        <v>6</v>
      </c>
      <c r="D91">
        <v>474</v>
      </c>
      <c r="E91" t="s">
        <v>712</v>
      </c>
    </row>
    <row r="92" spans="1:5" x14ac:dyDescent="0.35">
      <c r="A92" t="s">
        <v>582</v>
      </c>
      <c r="B92" t="s">
        <v>219</v>
      </c>
      <c r="C92">
        <v>6</v>
      </c>
      <c r="D92">
        <v>475</v>
      </c>
      <c r="E92" t="s">
        <v>566</v>
      </c>
    </row>
    <row r="93" spans="1:5" x14ac:dyDescent="0.35">
      <c r="A93" t="s">
        <v>582</v>
      </c>
      <c r="B93" t="s">
        <v>713</v>
      </c>
      <c r="C93">
        <v>6</v>
      </c>
      <c r="D93">
        <v>476</v>
      </c>
      <c r="E93" t="s">
        <v>714</v>
      </c>
    </row>
    <row r="94" spans="1:5" x14ac:dyDescent="0.35">
      <c r="A94" t="s">
        <v>579</v>
      </c>
      <c r="B94" t="s">
        <v>222</v>
      </c>
      <c r="C94">
        <v>5</v>
      </c>
      <c r="D94">
        <v>477</v>
      </c>
      <c r="E94" t="s">
        <v>223</v>
      </c>
    </row>
    <row r="95" spans="1:5" x14ac:dyDescent="0.35">
      <c r="A95" t="s">
        <v>582</v>
      </c>
      <c r="B95" t="s">
        <v>715</v>
      </c>
      <c r="C95">
        <v>6</v>
      </c>
      <c r="D95">
        <v>478</v>
      </c>
      <c r="E95" t="s">
        <v>716</v>
      </c>
    </row>
    <row r="96" spans="1:5" x14ac:dyDescent="0.35">
      <c r="A96" t="s">
        <v>582</v>
      </c>
      <c r="B96" t="s">
        <v>717</v>
      </c>
      <c r="C96">
        <v>6</v>
      </c>
      <c r="D96">
        <v>479</v>
      </c>
      <c r="E96" t="s">
        <v>718</v>
      </c>
    </row>
    <row r="97" spans="1:5" x14ac:dyDescent="0.35">
      <c r="A97" t="s">
        <v>582</v>
      </c>
      <c r="B97" t="s">
        <v>719</v>
      </c>
      <c r="C97">
        <v>6</v>
      </c>
      <c r="D97">
        <v>480</v>
      </c>
      <c r="E97" t="s">
        <v>720</v>
      </c>
    </row>
    <row r="98" spans="1:5" x14ac:dyDescent="0.35">
      <c r="A98" t="s">
        <v>582</v>
      </c>
      <c r="B98" t="s">
        <v>721</v>
      </c>
      <c r="C98">
        <v>6</v>
      </c>
      <c r="D98">
        <v>481</v>
      </c>
      <c r="E98" t="s">
        <v>722</v>
      </c>
    </row>
    <row r="99" spans="1:5" x14ac:dyDescent="0.35">
      <c r="A99" t="s">
        <v>582</v>
      </c>
      <c r="B99" t="s">
        <v>723</v>
      </c>
      <c r="C99">
        <v>6</v>
      </c>
      <c r="D99">
        <v>482</v>
      </c>
      <c r="E99" t="s">
        <v>724</v>
      </c>
    </row>
    <row r="100" spans="1:5" x14ac:dyDescent="0.35">
      <c r="A100" t="s">
        <v>582</v>
      </c>
      <c r="B100" t="s">
        <v>544</v>
      </c>
      <c r="C100">
        <v>6</v>
      </c>
      <c r="D100">
        <v>1870</v>
      </c>
      <c r="E100" t="s">
        <v>725</v>
      </c>
    </row>
    <row r="101" spans="1:5" x14ac:dyDescent="0.35">
      <c r="A101" t="s">
        <v>582</v>
      </c>
      <c r="B101" t="s">
        <v>726</v>
      </c>
      <c r="C101">
        <v>6</v>
      </c>
      <c r="D101">
        <v>2314</v>
      </c>
      <c r="E101" t="s">
        <v>727</v>
      </c>
    </row>
    <row r="102" spans="1:5" x14ac:dyDescent="0.35">
      <c r="A102" t="s">
        <v>582</v>
      </c>
      <c r="B102" t="s">
        <v>728</v>
      </c>
      <c r="C102">
        <v>6</v>
      </c>
      <c r="D102">
        <v>2292</v>
      </c>
      <c r="E102" t="s">
        <v>729</v>
      </c>
    </row>
    <row r="103" spans="1:5" x14ac:dyDescent="0.35">
      <c r="A103" t="s">
        <v>582</v>
      </c>
      <c r="B103" t="s">
        <v>224</v>
      </c>
      <c r="C103">
        <v>6</v>
      </c>
      <c r="D103">
        <v>483</v>
      </c>
      <c r="E103" t="s">
        <v>730</v>
      </c>
    </row>
    <row r="104" spans="1:5" x14ac:dyDescent="0.35">
      <c r="A104" t="s">
        <v>579</v>
      </c>
      <c r="B104" t="s">
        <v>731</v>
      </c>
      <c r="C104">
        <v>5</v>
      </c>
      <c r="D104">
        <v>30</v>
      </c>
      <c r="E104" t="s">
        <v>732</v>
      </c>
    </row>
    <row r="105" spans="1:5" x14ac:dyDescent="0.35">
      <c r="A105" t="s">
        <v>582</v>
      </c>
      <c r="B105" t="s">
        <v>733</v>
      </c>
      <c r="C105">
        <v>6</v>
      </c>
      <c r="D105">
        <v>484</v>
      </c>
      <c r="E105" t="s">
        <v>734</v>
      </c>
    </row>
    <row r="106" spans="1:5" x14ac:dyDescent="0.35">
      <c r="A106" t="s">
        <v>582</v>
      </c>
      <c r="B106" t="s">
        <v>735</v>
      </c>
      <c r="C106">
        <v>6</v>
      </c>
      <c r="D106">
        <v>485</v>
      </c>
      <c r="E106" t="s">
        <v>736</v>
      </c>
    </row>
    <row r="107" spans="1:5" x14ac:dyDescent="0.35">
      <c r="A107" t="s">
        <v>582</v>
      </c>
      <c r="B107" t="s">
        <v>737</v>
      </c>
      <c r="C107">
        <v>6</v>
      </c>
      <c r="D107">
        <v>486</v>
      </c>
      <c r="E107" t="s">
        <v>738</v>
      </c>
    </row>
    <row r="108" spans="1:5" x14ac:dyDescent="0.35">
      <c r="A108" t="s">
        <v>582</v>
      </c>
      <c r="B108" t="s">
        <v>739</v>
      </c>
      <c r="C108">
        <v>6</v>
      </c>
      <c r="D108">
        <v>1971</v>
      </c>
      <c r="E108" t="s">
        <v>740</v>
      </c>
    </row>
    <row r="109" spans="1:5" x14ac:dyDescent="0.35">
      <c r="A109" t="s">
        <v>579</v>
      </c>
      <c r="B109" t="s">
        <v>741</v>
      </c>
      <c r="C109">
        <v>5</v>
      </c>
      <c r="D109">
        <v>487</v>
      </c>
      <c r="E109" t="s">
        <v>742</v>
      </c>
    </row>
    <row r="110" spans="1:5" x14ac:dyDescent="0.35">
      <c r="A110" t="s">
        <v>582</v>
      </c>
      <c r="B110" t="s">
        <v>743</v>
      </c>
      <c r="C110">
        <v>6</v>
      </c>
      <c r="D110">
        <v>488</v>
      </c>
      <c r="E110" t="s">
        <v>742</v>
      </c>
    </row>
    <row r="111" spans="1:5" x14ac:dyDescent="0.35">
      <c r="A111" t="s">
        <v>582</v>
      </c>
      <c r="B111" t="s">
        <v>744</v>
      </c>
      <c r="C111">
        <v>6</v>
      </c>
      <c r="D111">
        <v>2000</v>
      </c>
      <c r="E111" t="s">
        <v>745</v>
      </c>
    </row>
    <row r="112" spans="1:5" x14ac:dyDescent="0.35">
      <c r="A112" t="s">
        <v>582</v>
      </c>
      <c r="B112" t="s">
        <v>746</v>
      </c>
      <c r="C112">
        <v>6</v>
      </c>
      <c r="D112">
        <v>2241</v>
      </c>
      <c r="E112" t="s">
        <v>747</v>
      </c>
    </row>
    <row r="113" spans="1:5" x14ac:dyDescent="0.35">
      <c r="A113" t="s">
        <v>582</v>
      </c>
      <c r="B113" t="s">
        <v>748</v>
      </c>
      <c r="C113">
        <v>6</v>
      </c>
      <c r="D113">
        <v>2191</v>
      </c>
      <c r="E113" t="s">
        <v>749</v>
      </c>
    </row>
    <row r="114" spans="1:5" x14ac:dyDescent="0.35">
      <c r="A114" t="s">
        <v>582</v>
      </c>
      <c r="B114" t="s">
        <v>750</v>
      </c>
      <c r="C114">
        <v>6</v>
      </c>
      <c r="D114">
        <v>2192</v>
      </c>
      <c r="E114" t="s">
        <v>751</v>
      </c>
    </row>
    <row r="115" spans="1:5" x14ac:dyDescent="0.35">
      <c r="A115" t="s">
        <v>582</v>
      </c>
      <c r="B115" t="s">
        <v>752</v>
      </c>
      <c r="C115">
        <v>6</v>
      </c>
      <c r="D115">
        <v>2220</v>
      </c>
      <c r="E115" t="s">
        <v>753</v>
      </c>
    </row>
    <row r="116" spans="1:5" x14ac:dyDescent="0.35">
      <c r="A116" t="s">
        <v>582</v>
      </c>
      <c r="B116" t="s">
        <v>754</v>
      </c>
      <c r="C116">
        <v>6</v>
      </c>
      <c r="D116">
        <v>2221</v>
      </c>
      <c r="E116" t="s">
        <v>755</v>
      </c>
    </row>
    <row r="117" spans="1:5" x14ac:dyDescent="0.35">
      <c r="A117" t="s">
        <v>582</v>
      </c>
      <c r="B117" t="s">
        <v>756</v>
      </c>
      <c r="C117">
        <v>6</v>
      </c>
      <c r="D117">
        <v>2222</v>
      </c>
      <c r="E117" t="s">
        <v>757</v>
      </c>
    </row>
    <row r="118" spans="1:5" x14ac:dyDescent="0.35">
      <c r="A118" t="s">
        <v>579</v>
      </c>
      <c r="B118" t="s">
        <v>758</v>
      </c>
      <c r="C118">
        <v>5</v>
      </c>
      <c r="D118">
        <v>489</v>
      </c>
      <c r="E118" t="s">
        <v>759</v>
      </c>
    </row>
    <row r="119" spans="1:5" x14ac:dyDescent="0.35">
      <c r="A119" t="s">
        <v>582</v>
      </c>
      <c r="B119" t="s">
        <v>760</v>
      </c>
      <c r="C119">
        <v>6</v>
      </c>
      <c r="D119">
        <v>490</v>
      </c>
      <c r="E119" t="s">
        <v>761</v>
      </c>
    </row>
    <row r="120" spans="1:5" x14ac:dyDescent="0.35">
      <c r="A120" t="s">
        <v>579</v>
      </c>
      <c r="B120" t="s">
        <v>546</v>
      </c>
      <c r="C120">
        <v>5</v>
      </c>
      <c r="D120">
        <v>2321</v>
      </c>
      <c r="E120" t="s">
        <v>547</v>
      </c>
    </row>
    <row r="121" spans="1:5" x14ac:dyDescent="0.35">
      <c r="A121" t="s">
        <v>582</v>
      </c>
      <c r="B121" t="s">
        <v>548</v>
      </c>
      <c r="C121">
        <v>6</v>
      </c>
      <c r="D121">
        <v>2322</v>
      </c>
      <c r="E121" t="s">
        <v>549</v>
      </c>
    </row>
    <row r="122" spans="1:5" x14ac:dyDescent="0.35">
      <c r="A122" t="s">
        <v>582</v>
      </c>
      <c r="B122" t="s">
        <v>550</v>
      </c>
      <c r="C122">
        <v>6</v>
      </c>
      <c r="D122">
        <v>2323</v>
      </c>
      <c r="E122" t="s">
        <v>551</v>
      </c>
    </row>
    <row r="123" spans="1:5" x14ac:dyDescent="0.35">
      <c r="A123" t="s">
        <v>579</v>
      </c>
      <c r="B123" t="s">
        <v>228</v>
      </c>
      <c r="C123">
        <v>4</v>
      </c>
      <c r="D123">
        <v>36</v>
      </c>
      <c r="E123" t="s">
        <v>229</v>
      </c>
    </row>
    <row r="124" spans="1:5" x14ac:dyDescent="0.35">
      <c r="A124" t="s">
        <v>579</v>
      </c>
      <c r="B124" t="s">
        <v>230</v>
      </c>
      <c r="C124">
        <v>5</v>
      </c>
      <c r="D124">
        <v>491</v>
      </c>
      <c r="E124" t="s">
        <v>79</v>
      </c>
    </row>
    <row r="125" spans="1:5" x14ac:dyDescent="0.35">
      <c r="A125" t="s">
        <v>582</v>
      </c>
      <c r="B125" t="s">
        <v>231</v>
      </c>
      <c r="C125">
        <v>6</v>
      </c>
      <c r="D125">
        <v>492</v>
      </c>
      <c r="E125" t="s">
        <v>163</v>
      </c>
    </row>
    <row r="126" spans="1:5" x14ac:dyDescent="0.35">
      <c r="A126" t="s">
        <v>582</v>
      </c>
      <c r="B126" t="s">
        <v>233</v>
      </c>
      <c r="C126">
        <v>6</v>
      </c>
      <c r="D126">
        <v>493</v>
      </c>
      <c r="E126" t="s">
        <v>762</v>
      </c>
    </row>
    <row r="127" spans="1:5" x14ac:dyDescent="0.35">
      <c r="A127" t="s">
        <v>582</v>
      </c>
      <c r="B127" t="s">
        <v>234</v>
      </c>
      <c r="C127">
        <v>6</v>
      </c>
      <c r="D127">
        <v>494</v>
      </c>
      <c r="E127" t="s">
        <v>24</v>
      </c>
    </row>
    <row r="128" spans="1:5" x14ac:dyDescent="0.35">
      <c r="A128" t="s">
        <v>582</v>
      </c>
      <c r="B128" t="s">
        <v>235</v>
      </c>
      <c r="C128">
        <v>6</v>
      </c>
      <c r="D128">
        <v>495</v>
      </c>
      <c r="E128" t="s">
        <v>25</v>
      </c>
    </row>
    <row r="129" spans="1:5" x14ac:dyDescent="0.35">
      <c r="A129" t="s">
        <v>582</v>
      </c>
      <c r="B129" t="s">
        <v>237</v>
      </c>
      <c r="C129">
        <v>6</v>
      </c>
      <c r="D129">
        <v>496</v>
      </c>
      <c r="E129" t="s">
        <v>26</v>
      </c>
    </row>
    <row r="130" spans="1:5" x14ac:dyDescent="0.35">
      <c r="A130" t="s">
        <v>582</v>
      </c>
      <c r="B130" t="s">
        <v>238</v>
      </c>
      <c r="C130">
        <v>6</v>
      </c>
      <c r="D130">
        <v>497</v>
      </c>
      <c r="E130" t="s">
        <v>27</v>
      </c>
    </row>
    <row r="131" spans="1:5" x14ac:dyDescent="0.35">
      <c r="A131" t="s">
        <v>582</v>
      </c>
      <c r="B131" t="s">
        <v>239</v>
      </c>
      <c r="C131">
        <v>6</v>
      </c>
      <c r="D131">
        <v>498</v>
      </c>
      <c r="E131" t="s">
        <v>167</v>
      </c>
    </row>
    <row r="132" spans="1:5" x14ac:dyDescent="0.35">
      <c r="A132" t="s">
        <v>582</v>
      </c>
      <c r="B132" t="s">
        <v>241</v>
      </c>
      <c r="C132">
        <v>6</v>
      </c>
      <c r="D132">
        <v>499</v>
      </c>
      <c r="E132" t="s">
        <v>162</v>
      </c>
    </row>
    <row r="133" spans="1:5" x14ac:dyDescent="0.35">
      <c r="A133" t="s">
        <v>582</v>
      </c>
      <c r="B133" t="s">
        <v>763</v>
      </c>
      <c r="C133">
        <v>6</v>
      </c>
      <c r="D133">
        <v>500</v>
      </c>
      <c r="E133" t="s">
        <v>764</v>
      </c>
    </row>
    <row r="134" spans="1:5" x14ac:dyDescent="0.35">
      <c r="A134" t="s">
        <v>582</v>
      </c>
      <c r="B134" t="s">
        <v>242</v>
      </c>
      <c r="C134">
        <v>6</v>
      </c>
      <c r="D134">
        <v>501</v>
      </c>
      <c r="E134" t="s">
        <v>765</v>
      </c>
    </row>
    <row r="135" spans="1:5" x14ac:dyDescent="0.35">
      <c r="A135" t="s">
        <v>582</v>
      </c>
      <c r="B135" t="s">
        <v>766</v>
      </c>
      <c r="C135">
        <v>6</v>
      </c>
      <c r="D135">
        <v>502</v>
      </c>
      <c r="E135" t="s">
        <v>767</v>
      </c>
    </row>
    <row r="136" spans="1:5" x14ac:dyDescent="0.35">
      <c r="A136" t="s">
        <v>582</v>
      </c>
      <c r="B136" t="s">
        <v>243</v>
      </c>
      <c r="C136">
        <v>6</v>
      </c>
      <c r="D136">
        <v>503</v>
      </c>
      <c r="E136" t="s">
        <v>80</v>
      </c>
    </row>
    <row r="137" spans="1:5" x14ac:dyDescent="0.35">
      <c r="A137" t="s">
        <v>582</v>
      </c>
      <c r="B137" t="s">
        <v>245</v>
      </c>
      <c r="C137">
        <v>6</v>
      </c>
      <c r="D137">
        <v>504</v>
      </c>
      <c r="E137" t="s">
        <v>164</v>
      </c>
    </row>
    <row r="138" spans="1:5" x14ac:dyDescent="0.35">
      <c r="A138" t="s">
        <v>582</v>
      </c>
      <c r="B138" t="s">
        <v>768</v>
      </c>
      <c r="C138">
        <v>6</v>
      </c>
      <c r="D138">
        <v>505</v>
      </c>
      <c r="E138" t="s">
        <v>769</v>
      </c>
    </row>
    <row r="139" spans="1:5" x14ac:dyDescent="0.35">
      <c r="A139" t="s">
        <v>582</v>
      </c>
      <c r="B139" t="s">
        <v>770</v>
      </c>
      <c r="C139">
        <v>6</v>
      </c>
      <c r="D139">
        <v>2223</v>
      </c>
      <c r="E139" t="s">
        <v>771</v>
      </c>
    </row>
    <row r="140" spans="1:5" x14ac:dyDescent="0.35">
      <c r="A140" t="s">
        <v>582</v>
      </c>
      <c r="B140" t="s">
        <v>772</v>
      </c>
      <c r="C140">
        <v>6</v>
      </c>
      <c r="D140">
        <v>2242</v>
      </c>
      <c r="E140" t="s">
        <v>773</v>
      </c>
    </row>
    <row r="141" spans="1:5" x14ac:dyDescent="0.35">
      <c r="A141" t="s">
        <v>582</v>
      </c>
      <c r="B141" t="s">
        <v>246</v>
      </c>
      <c r="C141">
        <v>6</v>
      </c>
      <c r="D141">
        <v>506</v>
      </c>
      <c r="E141" t="s">
        <v>774</v>
      </c>
    </row>
    <row r="142" spans="1:5" x14ac:dyDescent="0.35">
      <c r="A142" t="s">
        <v>582</v>
      </c>
      <c r="B142" t="s">
        <v>247</v>
      </c>
      <c r="C142">
        <v>6</v>
      </c>
      <c r="D142">
        <v>507</v>
      </c>
      <c r="E142" t="s">
        <v>775</v>
      </c>
    </row>
    <row r="143" spans="1:5" x14ac:dyDescent="0.35">
      <c r="A143" t="s">
        <v>579</v>
      </c>
      <c r="B143" t="s">
        <v>776</v>
      </c>
      <c r="C143">
        <v>4</v>
      </c>
      <c r="D143">
        <v>44</v>
      </c>
      <c r="E143" t="s">
        <v>777</v>
      </c>
    </row>
    <row r="144" spans="1:5" x14ac:dyDescent="0.35">
      <c r="A144" t="s">
        <v>579</v>
      </c>
      <c r="B144" t="s">
        <v>778</v>
      </c>
      <c r="C144">
        <v>5</v>
      </c>
      <c r="D144">
        <v>45</v>
      </c>
      <c r="E144" t="s">
        <v>779</v>
      </c>
    </row>
    <row r="145" spans="1:5" x14ac:dyDescent="0.35">
      <c r="A145" t="s">
        <v>582</v>
      </c>
      <c r="B145" t="s">
        <v>780</v>
      </c>
      <c r="C145">
        <v>6</v>
      </c>
      <c r="D145">
        <v>508</v>
      </c>
      <c r="E145" t="s">
        <v>781</v>
      </c>
    </row>
    <row r="146" spans="1:5" x14ac:dyDescent="0.35">
      <c r="A146" t="s">
        <v>582</v>
      </c>
      <c r="B146" t="s">
        <v>782</v>
      </c>
      <c r="C146">
        <v>6</v>
      </c>
      <c r="D146">
        <v>509</v>
      </c>
      <c r="E146" t="s">
        <v>783</v>
      </c>
    </row>
    <row r="147" spans="1:5" x14ac:dyDescent="0.35">
      <c r="A147" t="s">
        <v>582</v>
      </c>
      <c r="B147" t="s">
        <v>784</v>
      </c>
      <c r="C147">
        <v>6</v>
      </c>
      <c r="D147">
        <v>510</v>
      </c>
      <c r="E147" t="s">
        <v>785</v>
      </c>
    </row>
    <row r="148" spans="1:5" x14ac:dyDescent="0.35">
      <c r="A148" t="s">
        <v>582</v>
      </c>
      <c r="B148" t="s">
        <v>786</v>
      </c>
      <c r="C148">
        <v>6</v>
      </c>
      <c r="D148">
        <v>511</v>
      </c>
      <c r="E148" t="s">
        <v>787</v>
      </c>
    </row>
    <row r="149" spans="1:5" x14ac:dyDescent="0.35">
      <c r="A149" t="s">
        <v>579</v>
      </c>
      <c r="B149" t="s">
        <v>788</v>
      </c>
      <c r="C149">
        <v>3</v>
      </c>
      <c r="D149">
        <v>512</v>
      </c>
      <c r="E149" t="s">
        <v>789</v>
      </c>
    </row>
    <row r="150" spans="1:5" x14ac:dyDescent="0.35">
      <c r="A150" t="s">
        <v>579</v>
      </c>
      <c r="B150" t="s">
        <v>790</v>
      </c>
      <c r="C150">
        <v>4</v>
      </c>
      <c r="D150">
        <v>513</v>
      </c>
      <c r="E150" t="s">
        <v>791</v>
      </c>
    </row>
    <row r="151" spans="1:5" x14ac:dyDescent="0.35">
      <c r="A151" t="s">
        <v>579</v>
      </c>
      <c r="B151" t="s">
        <v>792</v>
      </c>
      <c r="C151">
        <v>5</v>
      </c>
      <c r="D151">
        <v>514</v>
      </c>
      <c r="E151" t="s">
        <v>793</v>
      </c>
    </row>
    <row r="152" spans="1:5" x14ac:dyDescent="0.35">
      <c r="A152" t="s">
        <v>582</v>
      </c>
      <c r="B152" t="s">
        <v>794</v>
      </c>
      <c r="C152">
        <v>6</v>
      </c>
      <c r="D152">
        <v>515</v>
      </c>
      <c r="E152" t="s">
        <v>793</v>
      </c>
    </row>
    <row r="153" spans="1:5" x14ac:dyDescent="0.35">
      <c r="A153" t="s">
        <v>582</v>
      </c>
      <c r="B153" t="s">
        <v>795</v>
      </c>
      <c r="C153">
        <v>6</v>
      </c>
      <c r="D153">
        <v>516</v>
      </c>
      <c r="E153" t="s">
        <v>796</v>
      </c>
    </row>
    <row r="154" spans="1:5" x14ac:dyDescent="0.35">
      <c r="A154" t="s">
        <v>579</v>
      </c>
      <c r="B154" t="s">
        <v>797</v>
      </c>
      <c r="C154">
        <v>5</v>
      </c>
      <c r="D154">
        <v>517</v>
      </c>
      <c r="E154" t="s">
        <v>798</v>
      </c>
    </row>
    <row r="155" spans="1:5" x14ac:dyDescent="0.35">
      <c r="A155" t="s">
        <v>582</v>
      </c>
      <c r="B155" t="s">
        <v>799</v>
      </c>
      <c r="C155">
        <v>6</v>
      </c>
      <c r="D155">
        <v>518</v>
      </c>
      <c r="E155" t="s">
        <v>592</v>
      </c>
    </row>
    <row r="156" spans="1:5" x14ac:dyDescent="0.35">
      <c r="A156" t="s">
        <v>582</v>
      </c>
      <c r="B156" t="s">
        <v>800</v>
      </c>
      <c r="C156">
        <v>6</v>
      </c>
      <c r="D156">
        <v>519</v>
      </c>
      <c r="E156" t="s">
        <v>594</v>
      </c>
    </row>
    <row r="157" spans="1:5" x14ac:dyDescent="0.35">
      <c r="A157" t="s">
        <v>582</v>
      </c>
      <c r="B157" t="s">
        <v>801</v>
      </c>
      <c r="C157">
        <v>6</v>
      </c>
      <c r="D157">
        <v>520</v>
      </c>
      <c r="E157" t="s">
        <v>596</v>
      </c>
    </row>
    <row r="158" spans="1:5" x14ac:dyDescent="0.35">
      <c r="A158" t="s">
        <v>582</v>
      </c>
      <c r="B158" t="s">
        <v>802</v>
      </c>
      <c r="C158">
        <v>6</v>
      </c>
      <c r="D158">
        <v>521</v>
      </c>
      <c r="E158" t="s">
        <v>598</v>
      </c>
    </row>
    <row r="159" spans="1:5" x14ac:dyDescent="0.35">
      <c r="A159" t="s">
        <v>582</v>
      </c>
      <c r="B159" t="s">
        <v>803</v>
      </c>
      <c r="C159">
        <v>6</v>
      </c>
      <c r="D159">
        <v>522</v>
      </c>
      <c r="E159" t="s">
        <v>600</v>
      </c>
    </row>
    <row r="160" spans="1:5" x14ac:dyDescent="0.35">
      <c r="A160" t="s">
        <v>582</v>
      </c>
      <c r="B160" t="s">
        <v>804</v>
      </c>
      <c r="C160">
        <v>6</v>
      </c>
      <c r="D160">
        <v>523</v>
      </c>
      <c r="E160" t="s">
        <v>602</v>
      </c>
    </row>
    <row r="161" spans="1:5" x14ac:dyDescent="0.35">
      <c r="A161" t="s">
        <v>582</v>
      </c>
      <c r="B161" t="s">
        <v>805</v>
      </c>
      <c r="C161">
        <v>6</v>
      </c>
      <c r="D161">
        <v>524</v>
      </c>
      <c r="E161" t="s">
        <v>604</v>
      </c>
    </row>
    <row r="162" spans="1:5" x14ac:dyDescent="0.35">
      <c r="A162" t="s">
        <v>582</v>
      </c>
      <c r="B162" t="s">
        <v>806</v>
      </c>
      <c r="C162">
        <v>6</v>
      </c>
      <c r="D162">
        <v>525</v>
      </c>
      <c r="E162" t="s">
        <v>606</v>
      </c>
    </row>
    <row r="163" spans="1:5" x14ac:dyDescent="0.35">
      <c r="A163" t="s">
        <v>582</v>
      </c>
      <c r="B163" t="s">
        <v>807</v>
      </c>
      <c r="C163">
        <v>6</v>
      </c>
      <c r="D163">
        <v>526</v>
      </c>
      <c r="E163" t="s">
        <v>608</v>
      </c>
    </row>
    <row r="164" spans="1:5" x14ac:dyDescent="0.35">
      <c r="A164" t="s">
        <v>582</v>
      </c>
      <c r="B164" t="s">
        <v>808</v>
      </c>
      <c r="C164">
        <v>6</v>
      </c>
      <c r="D164">
        <v>527</v>
      </c>
      <c r="E164" t="s">
        <v>610</v>
      </c>
    </row>
    <row r="165" spans="1:5" x14ac:dyDescent="0.35">
      <c r="A165" t="s">
        <v>582</v>
      </c>
      <c r="B165" t="s">
        <v>809</v>
      </c>
      <c r="C165">
        <v>6</v>
      </c>
      <c r="D165">
        <v>528</v>
      </c>
      <c r="E165" t="s">
        <v>612</v>
      </c>
    </row>
    <row r="166" spans="1:5" x14ac:dyDescent="0.35">
      <c r="A166" t="s">
        <v>582</v>
      </c>
      <c r="B166" t="s">
        <v>810</v>
      </c>
      <c r="C166">
        <v>6</v>
      </c>
      <c r="D166">
        <v>529</v>
      </c>
      <c r="E166" t="s">
        <v>208</v>
      </c>
    </row>
    <row r="167" spans="1:5" x14ac:dyDescent="0.35">
      <c r="A167" t="s">
        <v>582</v>
      </c>
      <c r="B167" t="s">
        <v>811</v>
      </c>
      <c r="C167">
        <v>6</v>
      </c>
      <c r="D167">
        <v>530</v>
      </c>
      <c r="E167" t="s">
        <v>614</v>
      </c>
    </row>
    <row r="168" spans="1:5" x14ac:dyDescent="0.35">
      <c r="A168" t="s">
        <v>582</v>
      </c>
      <c r="B168" t="s">
        <v>812</v>
      </c>
      <c r="C168">
        <v>6</v>
      </c>
      <c r="D168">
        <v>531</v>
      </c>
      <c r="E168" t="s">
        <v>616</v>
      </c>
    </row>
    <row r="169" spans="1:5" x14ac:dyDescent="0.35">
      <c r="A169" t="s">
        <v>582</v>
      </c>
      <c r="B169" t="s">
        <v>813</v>
      </c>
      <c r="C169">
        <v>6</v>
      </c>
      <c r="D169">
        <v>532</v>
      </c>
      <c r="E169" t="s">
        <v>814</v>
      </c>
    </row>
    <row r="170" spans="1:5" x14ac:dyDescent="0.35">
      <c r="A170" t="s">
        <v>579</v>
      </c>
      <c r="B170" t="s">
        <v>815</v>
      </c>
      <c r="C170">
        <v>5</v>
      </c>
      <c r="D170">
        <v>533</v>
      </c>
      <c r="E170" t="s">
        <v>816</v>
      </c>
    </row>
    <row r="171" spans="1:5" x14ac:dyDescent="0.35">
      <c r="A171" t="s">
        <v>582</v>
      </c>
      <c r="B171" t="s">
        <v>817</v>
      </c>
      <c r="C171">
        <v>6</v>
      </c>
      <c r="D171">
        <v>534</v>
      </c>
      <c r="E171" t="s">
        <v>592</v>
      </c>
    </row>
    <row r="172" spans="1:5" x14ac:dyDescent="0.35">
      <c r="A172" t="s">
        <v>582</v>
      </c>
      <c r="B172" t="s">
        <v>818</v>
      </c>
      <c r="C172">
        <v>6</v>
      </c>
      <c r="D172">
        <v>535</v>
      </c>
      <c r="E172" t="s">
        <v>594</v>
      </c>
    </row>
    <row r="173" spans="1:5" x14ac:dyDescent="0.35">
      <c r="A173" t="s">
        <v>582</v>
      </c>
      <c r="B173" t="s">
        <v>819</v>
      </c>
      <c r="C173">
        <v>6</v>
      </c>
      <c r="D173">
        <v>536</v>
      </c>
      <c r="E173" t="s">
        <v>596</v>
      </c>
    </row>
    <row r="174" spans="1:5" x14ac:dyDescent="0.35">
      <c r="A174" t="s">
        <v>582</v>
      </c>
      <c r="B174" t="s">
        <v>820</v>
      </c>
      <c r="C174">
        <v>6</v>
      </c>
      <c r="D174">
        <v>537</v>
      </c>
      <c r="E174" t="s">
        <v>598</v>
      </c>
    </row>
    <row r="175" spans="1:5" x14ac:dyDescent="0.35">
      <c r="A175" t="s">
        <v>582</v>
      </c>
      <c r="B175" t="s">
        <v>821</v>
      </c>
      <c r="C175">
        <v>6</v>
      </c>
      <c r="D175">
        <v>538</v>
      </c>
      <c r="E175" t="s">
        <v>600</v>
      </c>
    </row>
    <row r="176" spans="1:5" x14ac:dyDescent="0.35">
      <c r="A176" t="s">
        <v>582</v>
      </c>
      <c r="B176" t="s">
        <v>822</v>
      </c>
      <c r="C176">
        <v>6</v>
      </c>
      <c r="D176">
        <v>539</v>
      </c>
      <c r="E176" t="s">
        <v>602</v>
      </c>
    </row>
    <row r="177" spans="1:5" x14ac:dyDescent="0.35">
      <c r="A177" t="s">
        <v>582</v>
      </c>
      <c r="B177" t="s">
        <v>823</v>
      </c>
      <c r="C177">
        <v>6</v>
      </c>
      <c r="D177">
        <v>540</v>
      </c>
      <c r="E177" t="s">
        <v>604</v>
      </c>
    </row>
    <row r="178" spans="1:5" x14ac:dyDescent="0.35">
      <c r="A178" t="s">
        <v>582</v>
      </c>
      <c r="B178" t="s">
        <v>824</v>
      </c>
      <c r="C178">
        <v>6</v>
      </c>
      <c r="D178">
        <v>541</v>
      </c>
      <c r="E178" t="s">
        <v>606</v>
      </c>
    </row>
    <row r="179" spans="1:5" x14ac:dyDescent="0.35">
      <c r="A179" t="s">
        <v>582</v>
      </c>
      <c r="B179" t="s">
        <v>825</v>
      </c>
      <c r="C179">
        <v>6</v>
      </c>
      <c r="D179">
        <v>542</v>
      </c>
      <c r="E179" t="s">
        <v>608</v>
      </c>
    </row>
    <row r="180" spans="1:5" x14ac:dyDescent="0.35">
      <c r="A180" t="s">
        <v>582</v>
      </c>
      <c r="B180" t="s">
        <v>826</v>
      </c>
      <c r="C180">
        <v>6</v>
      </c>
      <c r="D180">
        <v>543</v>
      </c>
      <c r="E180" t="s">
        <v>610</v>
      </c>
    </row>
    <row r="181" spans="1:5" x14ac:dyDescent="0.35">
      <c r="A181" t="s">
        <v>582</v>
      </c>
      <c r="B181" t="s">
        <v>827</v>
      </c>
      <c r="C181">
        <v>6</v>
      </c>
      <c r="D181">
        <v>544</v>
      </c>
      <c r="E181" t="s">
        <v>612</v>
      </c>
    </row>
    <row r="182" spans="1:5" x14ac:dyDescent="0.35">
      <c r="A182" t="s">
        <v>582</v>
      </c>
      <c r="B182" t="s">
        <v>828</v>
      </c>
      <c r="C182">
        <v>6</v>
      </c>
      <c r="D182">
        <v>545</v>
      </c>
      <c r="E182" t="s">
        <v>208</v>
      </c>
    </row>
    <row r="183" spans="1:5" x14ac:dyDescent="0.35">
      <c r="A183" t="s">
        <v>582</v>
      </c>
      <c r="B183" t="s">
        <v>829</v>
      </c>
      <c r="C183">
        <v>6</v>
      </c>
      <c r="D183">
        <v>546</v>
      </c>
      <c r="E183" t="s">
        <v>614</v>
      </c>
    </row>
    <row r="184" spans="1:5" x14ac:dyDescent="0.35">
      <c r="A184" t="s">
        <v>582</v>
      </c>
      <c r="B184" t="s">
        <v>830</v>
      </c>
      <c r="C184">
        <v>6</v>
      </c>
      <c r="D184">
        <v>547</v>
      </c>
      <c r="E184" t="s">
        <v>616</v>
      </c>
    </row>
    <row r="185" spans="1:5" x14ac:dyDescent="0.35">
      <c r="A185" t="s">
        <v>582</v>
      </c>
      <c r="B185" t="s">
        <v>831</v>
      </c>
      <c r="C185">
        <v>6</v>
      </c>
      <c r="D185">
        <v>548</v>
      </c>
      <c r="E185" t="s">
        <v>814</v>
      </c>
    </row>
    <row r="186" spans="1:5" x14ac:dyDescent="0.35">
      <c r="A186" t="s">
        <v>579</v>
      </c>
      <c r="B186" t="s">
        <v>832</v>
      </c>
      <c r="C186">
        <v>5</v>
      </c>
      <c r="D186">
        <v>549</v>
      </c>
      <c r="E186" t="s">
        <v>833</v>
      </c>
    </row>
    <row r="187" spans="1:5" x14ac:dyDescent="0.35">
      <c r="A187" t="s">
        <v>582</v>
      </c>
      <c r="B187" t="s">
        <v>834</v>
      </c>
      <c r="C187">
        <v>6</v>
      </c>
      <c r="D187">
        <v>550</v>
      </c>
      <c r="E187" t="s">
        <v>667</v>
      </c>
    </row>
    <row r="188" spans="1:5" x14ac:dyDescent="0.35">
      <c r="A188" t="s">
        <v>582</v>
      </c>
      <c r="B188" t="s">
        <v>835</v>
      </c>
      <c r="C188">
        <v>6</v>
      </c>
      <c r="D188">
        <v>551</v>
      </c>
      <c r="E188" t="s">
        <v>669</v>
      </c>
    </row>
    <row r="189" spans="1:5" x14ac:dyDescent="0.35">
      <c r="A189" t="s">
        <v>579</v>
      </c>
      <c r="B189" t="s">
        <v>836</v>
      </c>
      <c r="C189">
        <v>4</v>
      </c>
      <c r="D189">
        <v>552</v>
      </c>
      <c r="E189" t="s">
        <v>837</v>
      </c>
    </row>
    <row r="190" spans="1:5" x14ac:dyDescent="0.35">
      <c r="A190" t="s">
        <v>579</v>
      </c>
      <c r="B190" t="s">
        <v>838</v>
      </c>
      <c r="C190">
        <v>5</v>
      </c>
      <c r="D190">
        <v>553</v>
      </c>
      <c r="E190" t="s">
        <v>839</v>
      </c>
    </row>
    <row r="191" spans="1:5" x14ac:dyDescent="0.35">
      <c r="A191" t="s">
        <v>582</v>
      </c>
      <c r="B191" t="s">
        <v>840</v>
      </c>
      <c r="C191">
        <v>6</v>
      </c>
      <c r="D191">
        <v>554</v>
      </c>
      <c r="E191" t="s">
        <v>841</v>
      </c>
    </row>
    <row r="192" spans="1:5" x14ac:dyDescent="0.35">
      <c r="A192" t="s">
        <v>582</v>
      </c>
      <c r="B192" t="s">
        <v>842</v>
      </c>
      <c r="C192">
        <v>6</v>
      </c>
      <c r="D192">
        <v>555</v>
      </c>
      <c r="E192" t="s">
        <v>843</v>
      </c>
    </row>
    <row r="193" spans="1:5" x14ac:dyDescent="0.35">
      <c r="A193" t="s">
        <v>579</v>
      </c>
      <c r="B193" t="s">
        <v>844</v>
      </c>
      <c r="C193">
        <v>5</v>
      </c>
      <c r="D193">
        <v>556</v>
      </c>
      <c r="E193" t="s">
        <v>697</v>
      </c>
    </row>
    <row r="194" spans="1:5" x14ac:dyDescent="0.35">
      <c r="A194" t="s">
        <v>582</v>
      </c>
      <c r="B194" t="s">
        <v>845</v>
      </c>
      <c r="C194">
        <v>6</v>
      </c>
      <c r="D194">
        <v>557</v>
      </c>
      <c r="E194" t="s">
        <v>697</v>
      </c>
    </row>
    <row r="195" spans="1:5" x14ac:dyDescent="0.35">
      <c r="A195" t="s">
        <v>579</v>
      </c>
      <c r="B195" t="s">
        <v>846</v>
      </c>
      <c r="C195">
        <v>5</v>
      </c>
      <c r="D195">
        <v>558</v>
      </c>
      <c r="E195" t="s">
        <v>847</v>
      </c>
    </row>
    <row r="196" spans="1:5" x14ac:dyDescent="0.35">
      <c r="A196" t="s">
        <v>582</v>
      </c>
      <c r="B196" t="s">
        <v>848</v>
      </c>
      <c r="C196">
        <v>6</v>
      </c>
      <c r="D196">
        <v>559</v>
      </c>
      <c r="E196" t="s">
        <v>700</v>
      </c>
    </row>
    <row r="197" spans="1:5" x14ac:dyDescent="0.35">
      <c r="A197" t="s">
        <v>579</v>
      </c>
      <c r="B197" t="s">
        <v>849</v>
      </c>
      <c r="C197">
        <v>5</v>
      </c>
      <c r="D197">
        <v>560</v>
      </c>
      <c r="E197" t="s">
        <v>217</v>
      </c>
    </row>
    <row r="198" spans="1:5" x14ac:dyDescent="0.35">
      <c r="A198" t="s">
        <v>582</v>
      </c>
      <c r="B198" t="s">
        <v>850</v>
      </c>
      <c r="C198">
        <v>6</v>
      </c>
      <c r="D198">
        <v>561</v>
      </c>
      <c r="E198" t="s">
        <v>708</v>
      </c>
    </row>
    <row r="199" spans="1:5" x14ac:dyDescent="0.35">
      <c r="A199" t="s">
        <v>582</v>
      </c>
      <c r="B199" t="s">
        <v>851</v>
      </c>
      <c r="C199">
        <v>6</v>
      </c>
      <c r="D199">
        <v>562</v>
      </c>
      <c r="E199" t="s">
        <v>543</v>
      </c>
    </row>
    <row r="200" spans="1:5" x14ac:dyDescent="0.35">
      <c r="A200" t="s">
        <v>582</v>
      </c>
      <c r="B200" t="s">
        <v>852</v>
      </c>
      <c r="C200">
        <v>6</v>
      </c>
      <c r="D200">
        <v>563</v>
      </c>
      <c r="E200" t="s">
        <v>710</v>
      </c>
    </row>
    <row r="201" spans="1:5" x14ac:dyDescent="0.35">
      <c r="A201" t="s">
        <v>582</v>
      </c>
      <c r="B201" t="s">
        <v>853</v>
      </c>
      <c r="C201">
        <v>6</v>
      </c>
      <c r="D201">
        <v>564</v>
      </c>
      <c r="E201" t="s">
        <v>712</v>
      </c>
    </row>
    <row r="202" spans="1:5" x14ac:dyDescent="0.35">
      <c r="A202" t="s">
        <v>582</v>
      </c>
      <c r="B202" t="s">
        <v>854</v>
      </c>
      <c r="C202">
        <v>6</v>
      </c>
      <c r="D202">
        <v>565</v>
      </c>
      <c r="E202" t="s">
        <v>566</v>
      </c>
    </row>
    <row r="203" spans="1:5" x14ac:dyDescent="0.35">
      <c r="A203" t="s">
        <v>582</v>
      </c>
      <c r="B203" t="s">
        <v>855</v>
      </c>
      <c r="C203">
        <v>6</v>
      </c>
      <c r="D203">
        <v>566</v>
      </c>
      <c r="E203" t="s">
        <v>714</v>
      </c>
    </row>
    <row r="204" spans="1:5" x14ac:dyDescent="0.35">
      <c r="A204" t="s">
        <v>579</v>
      </c>
      <c r="B204" t="s">
        <v>856</v>
      </c>
      <c r="C204">
        <v>5</v>
      </c>
      <c r="D204">
        <v>567</v>
      </c>
      <c r="E204" t="s">
        <v>223</v>
      </c>
    </row>
    <row r="205" spans="1:5" x14ac:dyDescent="0.35">
      <c r="A205" t="s">
        <v>582</v>
      </c>
      <c r="B205" t="s">
        <v>857</v>
      </c>
      <c r="C205">
        <v>6</v>
      </c>
      <c r="D205">
        <v>568</v>
      </c>
      <c r="E205" t="s">
        <v>716</v>
      </c>
    </row>
    <row r="206" spans="1:5" x14ac:dyDescent="0.35">
      <c r="A206" t="s">
        <v>582</v>
      </c>
      <c r="B206" t="s">
        <v>858</v>
      </c>
      <c r="C206">
        <v>6</v>
      </c>
      <c r="D206">
        <v>569</v>
      </c>
      <c r="E206" t="s">
        <v>718</v>
      </c>
    </row>
    <row r="207" spans="1:5" x14ac:dyDescent="0.35">
      <c r="A207" t="s">
        <v>582</v>
      </c>
      <c r="B207" t="s">
        <v>859</v>
      </c>
      <c r="C207">
        <v>6</v>
      </c>
      <c r="D207">
        <v>570</v>
      </c>
      <c r="E207" t="s">
        <v>730</v>
      </c>
    </row>
    <row r="208" spans="1:5" x14ac:dyDescent="0.35">
      <c r="A208" t="s">
        <v>582</v>
      </c>
      <c r="B208" t="s">
        <v>860</v>
      </c>
      <c r="C208">
        <v>6</v>
      </c>
      <c r="D208">
        <v>571</v>
      </c>
      <c r="E208" t="s">
        <v>720</v>
      </c>
    </row>
    <row r="209" spans="1:5" x14ac:dyDescent="0.35">
      <c r="A209" t="s">
        <v>582</v>
      </c>
      <c r="B209" t="s">
        <v>861</v>
      </c>
      <c r="C209">
        <v>6</v>
      </c>
      <c r="D209">
        <v>572</v>
      </c>
      <c r="E209" t="s">
        <v>722</v>
      </c>
    </row>
    <row r="210" spans="1:5" x14ac:dyDescent="0.35">
      <c r="A210" t="s">
        <v>582</v>
      </c>
      <c r="B210" t="s">
        <v>862</v>
      </c>
      <c r="C210">
        <v>6</v>
      </c>
      <c r="D210">
        <v>573</v>
      </c>
      <c r="E210" t="s">
        <v>724</v>
      </c>
    </row>
    <row r="211" spans="1:5" x14ac:dyDescent="0.35">
      <c r="A211" t="s">
        <v>582</v>
      </c>
      <c r="B211" t="s">
        <v>863</v>
      </c>
      <c r="C211">
        <v>6</v>
      </c>
      <c r="D211">
        <v>2001</v>
      </c>
      <c r="E211" t="s">
        <v>864</v>
      </c>
    </row>
    <row r="212" spans="1:5" x14ac:dyDescent="0.35">
      <c r="A212" t="s">
        <v>579</v>
      </c>
      <c r="B212" t="s">
        <v>865</v>
      </c>
      <c r="C212">
        <v>5</v>
      </c>
      <c r="D212">
        <v>574</v>
      </c>
      <c r="E212" t="s">
        <v>732</v>
      </c>
    </row>
    <row r="213" spans="1:5" x14ac:dyDescent="0.35">
      <c r="A213" t="s">
        <v>582</v>
      </c>
      <c r="B213" t="s">
        <v>866</v>
      </c>
      <c r="C213">
        <v>6</v>
      </c>
      <c r="D213">
        <v>575</v>
      </c>
      <c r="E213" t="s">
        <v>734</v>
      </c>
    </row>
    <row r="214" spans="1:5" x14ac:dyDescent="0.35">
      <c r="A214" t="s">
        <v>582</v>
      </c>
      <c r="B214" t="s">
        <v>867</v>
      </c>
      <c r="C214">
        <v>6</v>
      </c>
      <c r="D214">
        <v>576</v>
      </c>
      <c r="E214" t="s">
        <v>736</v>
      </c>
    </row>
    <row r="215" spans="1:5" x14ac:dyDescent="0.35">
      <c r="A215" t="s">
        <v>582</v>
      </c>
      <c r="B215" t="s">
        <v>868</v>
      </c>
      <c r="C215">
        <v>6</v>
      </c>
      <c r="D215">
        <v>577</v>
      </c>
      <c r="E215" t="s">
        <v>738</v>
      </c>
    </row>
    <row r="216" spans="1:5" x14ac:dyDescent="0.35">
      <c r="A216" t="s">
        <v>582</v>
      </c>
      <c r="B216" t="s">
        <v>869</v>
      </c>
      <c r="C216">
        <v>6</v>
      </c>
      <c r="D216">
        <v>1972</v>
      </c>
      <c r="E216" t="s">
        <v>740</v>
      </c>
    </row>
    <row r="217" spans="1:5" x14ac:dyDescent="0.35">
      <c r="A217" t="s">
        <v>579</v>
      </c>
      <c r="B217" t="s">
        <v>870</v>
      </c>
      <c r="C217">
        <v>5</v>
      </c>
      <c r="D217">
        <v>578</v>
      </c>
      <c r="E217" t="s">
        <v>742</v>
      </c>
    </row>
    <row r="218" spans="1:5" x14ac:dyDescent="0.35">
      <c r="A218" t="s">
        <v>582</v>
      </c>
      <c r="B218" t="s">
        <v>871</v>
      </c>
      <c r="C218">
        <v>6</v>
      </c>
      <c r="D218">
        <v>579</v>
      </c>
      <c r="E218" t="s">
        <v>742</v>
      </c>
    </row>
    <row r="219" spans="1:5" x14ac:dyDescent="0.35">
      <c r="A219" t="s">
        <v>579</v>
      </c>
      <c r="B219" t="s">
        <v>872</v>
      </c>
      <c r="C219">
        <v>5</v>
      </c>
      <c r="D219">
        <v>580</v>
      </c>
      <c r="E219" t="s">
        <v>759</v>
      </c>
    </row>
    <row r="220" spans="1:5" x14ac:dyDescent="0.35">
      <c r="A220" t="s">
        <v>582</v>
      </c>
      <c r="B220" t="s">
        <v>873</v>
      </c>
      <c r="C220">
        <v>6</v>
      </c>
      <c r="D220">
        <v>581</v>
      </c>
      <c r="E220" t="s">
        <v>761</v>
      </c>
    </row>
    <row r="221" spans="1:5" x14ac:dyDescent="0.35">
      <c r="A221" t="s">
        <v>579</v>
      </c>
      <c r="B221" t="s">
        <v>874</v>
      </c>
      <c r="C221">
        <v>4</v>
      </c>
      <c r="D221">
        <v>582</v>
      </c>
      <c r="E221" t="s">
        <v>875</v>
      </c>
    </row>
    <row r="222" spans="1:5" x14ac:dyDescent="0.35">
      <c r="A222" t="s">
        <v>579</v>
      </c>
      <c r="B222" t="s">
        <v>876</v>
      </c>
      <c r="C222">
        <v>5</v>
      </c>
      <c r="D222">
        <v>583</v>
      </c>
      <c r="E222" t="s">
        <v>877</v>
      </c>
    </row>
    <row r="223" spans="1:5" x14ac:dyDescent="0.35">
      <c r="A223" t="s">
        <v>582</v>
      </c>
      <c r="B223" t="s">
        <v>878</v>
      </c>
      <c r="C223">
        <v>6</v>
      </c>
      <c r="D223">
        <v>584</v>
      </c>
      <c r="E223" t="s">
        <v>24</v>
      </c>
    </row>
    <row r="224" spans="1:5" x14ac:dyDescent="0.35">
      <c r="A224" t="s">
        <v>582</v>
      </c>
      <c r="B224" t="s">
        <v>879</v>
      </c>
      <c r="C224">
        <v>6</v>
      </c>
      <c r="D224">
        <v>585</v>
      </c>
      <c r="E224" t="s">
        <v>25</v>
      </c>
    </row>
    <row r="225" spans="1:5" x14ac:dyDescent="0.35">
      <c r="A225" t="s">
        <v>582</v>
      </c>
      <c r="B225" t="s">
        <v>880</v>
      </c>
      <c r="C225">
        <v>6</v>
      </c>
      <c r="D225">
        <v>586</v>
      </c>
      <c r="E225" t="s">
        <v>26</v>
      </c>
    </row>
    <row r="226" spans="1:5" x14ac:dyDescent="0.35">
      <c r="A226" t="s">
        <v>582</v>
      </c>
      <c r="B226" t="s">
        <v>881</v>
      </c>
      <c r="C226">
        <v>6</v>
      </c>
      <c r="D226">
        <v>587</v>
      </c>
      <c r="E226" t="s">
        <v>882</v>
      </c>
    </row>
    <row r="227" spans="1:5" x14ac:dyDescent="0.35">
      <c r="A227" t="s">
        <v>582</v>
      </c>
      <c r="B227" t="s">
        <v>883</v>
      </c>
      <c r="C227">
        <v>6</v>
      </c>
      <c r="D227">
        <v>588</v>
      </c>
      <c r="E227" t="s">
        <v>167</v>
      </c>
    </row>
    <row r="228" spans="1:5" x14ac:dyDescent="0.35">
      <c r="A228" t="s">
        <v>582</v>
      </c>
      <c r="B228" t="s">
        <v>884</v>
      </c>
      <c r="C228">
        <v>6</v>
      </c>
      <c r="D228">
        <v>589</v>
      </c>
      <c r="E228" t="s">
        <v>774</v>
      </c>
    </row>
    <row r="229" spans="1:5" x14ac:dyDescent="0.35">
      <c r="A229" t="s">
        <v>582</v>
      </c>
      <c r="B229" t="s">
        <v>885</v>
      </c>
      <c r="C229">
        <v>6</v>
      </c>
      <c r="D229">
        <v>590</v>
      </c>
      <c r="E229" t="s">
        <v>775</v>
      </c>
    </row>
    <row r="230" spans="1:5" x14ac:dyDescent="0.35">
      <c r="A230" t="s">
        <v>579</v>
      </c>
      <c r="B230" t="s">
        <v>886</v>
      </c>
      <c r="C230">
        <v>4</v>
      </c>
      <c r="D230">
        <v>591</v>
      </c>
      <c r="E230" t="s">
        <v>887</v>
      </c>
    </row>
    <row r="231" spans="1:5" x14ac:dyDescent="0.35">
      <c r="A231" t="s">
        <v>579</v>
      </c>
      <c r="B231" t="s">
        <v>888</v>
      </c>
      <c r="C231">
        <v>5</v>
      </c>
      <c r="D231">
        <v>592</v>
      </c>
      <c r="E231" t="s">
        <v>779</v>
      </c>
    </row>
    <row r="232" spans="1:5" x14ac:dyDescent="0.35">
      <c r="A232" t="s">
        <v>582</v>
      </c>
      <c r="B232" t="s">
        <v>889</v>
      </c>
      <c r="C232">
        <v>6</v>
      </c>
      <c r="D232">
        <v>593</v>
      </c>
      <c r="E232" t="s">
        <v>781</v>
      </c>
    </row>
    <row r="233" spans="1:5" x14ac:dyDescent="0.35">
      <c r="A233" t="s">
        <v>582</v>
      </c>
      <c r="B233" t="s">
        <v>890</v>
      </c>
      <c r="C233">
        <v>6</v>
      </c>
      <c r="D233">
        <v>594</v>
      </c>
      <c r="E233" t="s">
        <v>783</v>
      </c>
    </row>
    <row r="234" spans="1:5" x14ac:dyDescent="0.35">
      <c r="A234" t="s">
        <v>582</v>
      </c>
      <c r="B234" t="s">
        <v>891</v>
      </c>
      <c r="C234">
        <v>6</v>
      </c>
      <c r="D234">
        <v>595</v>
      </c>
      <c r="E234" t="s">
        <v>785</v>
      </c>
    </row>
    <row r="235" spans="1:5" x14ac:dyDescent="0.35">
      <c r="A235" t="s">
        <v>582</v>
      </c>
      <c r="B235" t="s">
        <v>892</v>
      </c>
      <c r="C235">
        <v>6</v>
      </c>
      <c r="D235">
        <v>596</v>
      </c>
      <c r="E235" t="s">
        <v>787</v>
      </c>
    </row>
    <row r="236" spans="1:5" x14ac:dyDescent="0.35">
      <c r="A236" t="s">
        <v>579</v>
      </c>
      <c r="B236" t="s">
        <v>893</v>
      </c>
      <c r="C236">
        <v>3</v>
      </c>
      <c r="D236">
        <v>597</v>
      </c>
      <c r="E236" t="s">
        <v>894</v>
      </c>
    </row>
    <row r="237" spans="1:5" x14ac:dyDescent="0.35">
      <c r="A237" t="s">
        <v>579</v>
      </c>
      <c r="B237" t="s">
        <v>895</v>
      </c>
      <c r="C237">
        <v>4</v>
      </c>
      <c r="D237">
        <v>598</v>
      </c>
      <c r="E237" t="s">
        <v>896</v>
      </c>
    </row>
    <row r="238" spans="1:5" x14ac:dyDescent="0.35">
      <c r="A238" t="s">
        <v>579</v>
      </c>
      <c r="B238" t="s">
        <v>897</v>
      </c>
      <c r="C238">
        <v>5</v>
      </c>
      <c r="D238">
        <v>599</v>
      </c>
      <c r="E238" t="s">
        <v>898</v>
      </c>
    </row>
    <row r="239" spans="1:5" x14ac:dyDescent="0.35">
      <c r="A239" t="s">
        <v>582</v>
      </c>
      <c r="B239" t="s">
        <v>899</v>
      </c>
      <c r="C239">
        <v>6</v>
      </c>
      <c r="D239">
        <v>600</v>
      </c>
      <c r="E239" t="s">
        <v>900</v>
      </c>
    </row>
    <row r="240" spans="1:5" x14ac:dyDescent="0.35">
      <c r="A240" t="s">
        <v>582</v>
      </c>
      <c r="B240" t="s">
        <v>901</v>
      </c>
      <c r="C240">
        <v>6</v>
      </c>
      <c r="D240">
        <v>601</v>
      </c>
      <c r="E240" t="s">
        <v>902</v>
      </c>
    </row>
    <row r="241" spans="1:5" x14ac:dyDescent="0.35">
      <c r="A241" t="s">
        <v>579</v>
      </c>
      <c r="B241" t="s">
        <v>903</v>
      </c>
      <c r="C241">
        <v>5</v>
      </c>
      <c r="D241">
        <v>602</v>
      </c>
      <c r="E241" t="s">
        <v>904</v>
      </c>
    </row>
    <row r="242" spans="1:5" x14ac:dyDescent="0.35">
      <c r="A242" t="s">
        <v>582</v>
      </c>
      <c r="B242" t="s">
        <v>905</v>
      </c>
      <c r="C242">
        <v>6</v>
      </c>
      <c r="D242">
        <v>603</v>
      </c>
      <c r="E242" t="s">
        <v>592</v>
      </c>
    </row>
    <row r="243" spans="1:5" x14ac:dyDescent="0.35">
      <c r="A243" t="s">
        <v>582</v>
      </c>
      <c r="B243" t="s">
        <v>906</v>
      </c>
      <c r="C243">
        <v>6</v>
      </c>
      <c r="D243">
        <v>604</v>
      </c>
      <c r="E243" t="s">
        <v>594</v>
      </c>
    </row>
    <row r="244" spans="1:5" x14ac:dyDescent="0.35">
      <c r="A244" t="s">
        <v>582</v>
      </c>
      <c r="B244" t="s">
        <v>907</v>
      </c>
      <c r="C244">
        <v>6</v>
      </c>
      <c r="D244">
        <v>605</v>
      </c>
      <c r="E244" t="s">
        <v>596</v>
      </c>
    </row>
    <row r="245" spans="1:5" x14ac:dyDescent="0.35">
      <c r="A245" t="s">
        <v>582</v>
      </c>
      <c r="B245" t="s">
        <v>908</v>
      </c>
      <c r="C245">
        <v>6</v>
      </c>
      <c r="D245">
        <v>606</v>
      </c>
      <c r="E245" t="s">
        <v>598</v>
      </c>
    </row>
    <row r="246" spans="1:5" x14ac:dyDescent="0.35">
      <c r="A246" t="s">
        <v>582</v>
      </c>
      <c r="B246" t="s">
        <v>909</v>
      </c>
      <c r="C246">
        <v>6</v>
      </c>
      <c r="D246">
        <v>607</v>
      </c>
      <c r="E246" t="s">
        <v>600</v>
      </c>
    </row>
    <row r="247" spans="1:5" x14ac:dyDescent="0.35">
      <c r="A247" t="s">
        <v>582</v>
      </c>
      <c r="B247" t="s">
        <v>910</v>
      </c>
      <c r="C247">
        <v>6</v>
      </c>
      <c r="D247">
        <v>608</v>
      </c>
      <c r="E247" t="s">
        <v>602</v>
      </c>
    </row>
    <row r="248" spans="1:5" x14ac:dyDescent="0.35">
      <c r="A248" t="s">
        <v>582</v>
      </c>
      <c r="B248" t="s">
        <v>911</v>
      </c>
      <c r="C248">
        <v>6</v>
      </c>
      <c r="D248">
        <v>609</v>
      </c>
      <c r="E248" t="s">
        <v>604</v>
      </c>
    </row>
    <row r="249" spans="1:5" x14ac:dyDescent="0.35">
      <c r="A249" t="s">
        <v>582</v>
      </c>
      <c r="B249" t="s">
        <v>912</v>
      </c>
      <c r="C249">
        <v>6</v>
      </c>
      <c r="D249">
        <v>610</v>
      </c>
      <c r="E249" t="s">
        <v>606</v>
      </c>
    </row>
    <row r="250" spans="1:5" x14ac:dyDescent="0.35">
      <c r="A250" t="s">
        <v>582</v>
      </c>
      <c r="B250" t="s">
        <v>913</v>
      </c>
      <c r="C250">
        <v>6</v>
      </c>
      <c r="D250">
        <v>611</v>
      </c>
      <c r="E250" t="s">
        <v>608</v>
      </c>
    </row>
    <row r="251" spans="1:5" x14ac:dyDescent="0.35">
      <c r="A251" t="s">
        <v>582</v>
      </c>
      <c r="B251" t="s">
        <v>914</v>
      </c>
      <c r="C251">
        <v>6</v>
      </c>
      <c r="D251">
        <v>612</v>
      </c>
      <c r="E251" t="s">
        <v>610</v>
      </c>
    </row>
    <row r="252" spans="1:5" x14ac:dyDescent="0.35">
      <c r="A252" t="s">
        <v>582</v>
      </c>
      <c r="B252" t="s">
        <v>915</v>
      </c>
      <c r="C252">
        <v>6</v>
      </c>
      <c r="D252">
        <v>613</v>
      </c>
      <c r="E252" t="s">
        <v>612</v>
      </c>
    </row>
    <row r="253" spans="1:5" x14ac:dyDescent="0.35">
      <c r="A253" t="s">
        <v>582</v>
      </c>
      <c r="B253" t="s">
        <v>916</v>
      </c>
      <c r="C253">
        <v>6</v>
      </c>
      <c r="D253">
        <v>614</v>
      </c>
      <c r="E253" t="s">
        <v>208</v>
      </c>
    </row>
    <row r="254" spans="1:5" x14ac:dyDescent="0.35">
      <c r="A254" t="s">
        <v>582</v>
      </c>
      <c r="B254" t="s">
        <v>917</v>
      </c>
      <c r="C254">
        <v>6</v>
      </c>
      <c r="D254">
        <v>615</v>
      </c>
      <c r="E254" t="s">
        <v>614</v>
      </c>
    </row>
    <row r="255" spans="1:5" x14ac:dyDescent="0.35">
      <c r="A255" t="s">
        <v>582</v>
      </c>
      <c r="B255" t="s">
        <v>918</v>
      </c>
      <c r="C255">
        <v>6</v>
      </c>
      <c r="D255">
        <v>616</v>
      </c>
      <c r="E255" t="s">
        <v>616</v>
      </c>
    </row>
    <row r="256" spans="1:5" x14ac:dyDescent="0.35">
      <c r="A256" t="s">
        <v>582</v>
      </c>
      <c r="B256" t="s">
        <v>919</v>
      </c>
      <c r="C256">
        <v>6</v>
      </c>
      <c r="D256">
        <v>617</v>
      </c>
      <c r="E256" t="s">
        <v>814</v>
      </c>
    </row>
    <row r="257" spans="1:5" x14ac:dyDescent="0.35">
      <c r="A257" t="s">
        <v>579</v>
      </c>
      <c r="B257" t="s">
        <v>920</v>
      </c>
      <c r="C257">
        <v>5</v>
      </c>
      <c r="D257">
        <v>618</v>
      </c>
      <c r="E257" t="s">
        <v>921</v>
      </c>
    </row>
    <row r="258" spans="1:5" x14ac:dyDescent="0.35">
      <c r="A258" t="s">
        <v>582</v>
      </c>
      <c r="B258" t="s">
        <v>922</v>
      </c>
      <c r="C258">
        <v>6</v>
      </c>
      <c r="D258">
        <v>619</v>
      </c>
      <c r="E258" t="s">
        <v>592</v>
      </c>
    </row>
    <row r="259" spans="1:5" x14ac:dyDescent="0.35">
      <c r="A259" t="s">
        <v>582</v>
      </c>
      <c r="B259" t="s">
        <v>923</v>
      </c>
      <c r="C259">
        <v>6</v>
      </c>
      <c r="D259">
        <v>620</v>
      </c>
      <c r="E259" t="s">
        <v>594</v>
      </c>
    </row>
    <row r="260" spans="1:5" x14ac:dyDescent="0.35">
      <c r="A260" t="s">
        <v>582</v>
      </c>
      <c r="B260" t="s">
        <v>924</v>
      </c>
      <c r="C260">
        <v>6</v>
      </c>
      <c r="D260">
        <v>621</v>
      </c>
      <c r="E260" t="s">
        <v>596</v>
      </c>
    </row>
    <row r="261" spans="1:5" x14ac:dyDescent="0.35">
      <c r="A261" t="s">
        <v>582</v>
      </c>
      <c r="B261" t="s">
        <v>925</v>
      </c>
      <c r="C261">
        <v>6</v>
      </c>
      <c r="D261">
        <v>622</v>
      </c>
      <c r="E261" t="s">
        <v>598</v>
      </c>
    </row>
    <row r="262" spans="1:5" x14ac:dyDescent="0.35">
      <c r="A262" t="s">
        <v>582</v>
      </c>
      <c r="B262" t="s">
        <v>926</v>
      </c>
      <c r="C262">
        <v>6</v>
      </c>
      <c r="D262">
        <v>623</v>
      </c>
      <c r="E262" t="s">
        <v>600</v>
      </c>
    </row>
    <row r="263" spans="1:5" x14ac:dyDescent="0.35">
      <c r="A263" t="s">
        <v>582</v>
      </c>
      <c r="B263" t="s">
        <v>927</v>
      </c>
      <c r="C263">
        <v>6</v>
      </c>
      <c r="D263">
        <v>624</v>
      </c>
      <c r="E263" t="s">
        <v>602</v>
      </c>
    </row>
    <row r="264" spans="1:5" x14ac:dyDescent="0.35">
      <c r="A264" t="s">
        <v>582</v>
      </c>
      <c r="B264" t="s">
        <v>928</v>
      </c>
      <c r="C264">
        <v>6</v>
      </c>
      <c r="D264">
        <v>625</v>
      </c>
      <c r="E264" t="s">
        <v>604</v>
      </c>
    </row>
    <row r="265" spans="1:5" x14ac:dyDescent="0.35">
      <c r="A265" t="s">
        <v>582</v>
      </c>
      <c r="B265" t="s">
        <v>929</v>
      </c>
      <c r="C265">
        <v>6</v>
      </c>
      <c r="D265">
        <v>626</v>
      </c>
      <c r="E265" t="s">
        <v>606</v>
      </c>
    </row>
    <row r="266" spans="1:5" x14ac:dyDescent="0.35">
      <c r="A266" t="s">
        <v>582</v>
      </c>
      <c r="B266" t="s">
        <v>930</v>
      </c>
      <c r="C266">
        <v>6</v>
      </c>
      <c r="D266">
        <v>627</v>
      </c>
      <c r="E266" t="s">
        <v>608</v>
      </c>
    </row>
    <row r="267" spans="1:5" x14ac:dyDescent="0.35">
      <c r="A267" t="s">
        <v>582</v>
      </c>
      <c r="B267" t="s">
        <v>931</v>
      </c>
      <c r="C267">
        <v>6</v>
      </c>
      <c r="D267">
        <v>628</v>
      </c>
      <c r="E267" t="s">
        <v>610</v>
      </c>
    </row>
    <row r="268" spans="1:5" x14ac:dyDescent="0.35">
      <c r="A268" t="s">
        <v>582</v>
      </c>
      <c r="B268" t="s">
        <v>932</v>
      </c>
      <c r="C268">
        <v>6</v>
      </c>
      <c r="D268">
        <v>629</v>
      </c>
      <c r="E268" t="s">
        <v>612</v>
      </c>
    </row>
    <row r="269" spans="1:5" x14ac:dyDescent="0.35">
      <c r="A269" t="s">
        <v>582</v>
      </c>
      <c r="B269" t="s">
        <v>933</v>
      </c>
      <c r="C269">
        <v>6</v>
      </c>
      <c r="D269">
        <v>630</v>
      </c>
      <c r="E269" t="s">
        <v>208</v>
      </c>
    </row>
    <row r="270" spans="1:5" x14ac:dyDescent="0.35">
      <c r="A270" t="s">
        <v>582</v>
      </c>
      <c r="B270" t="s">
        <v>934</v>
      </c>
      <c r="C270">
        <v>6</v>
      </c>
      <c r="D270">
        <v>631</v>
      </c>
      <c r="E270" t="s">
        <v>614</v>
      </c>
    </row>
    <row r="271" spans="1:5" x14ac:dyDescent="0.35">
      <c r="A271" t="s">
        <v>582</v>
      </c>
      <c r="B271" t="s">
        <v>935</v>
      </c>
      <c r="C271">
        <v>6</v>
      </c>
      <c r="D271">
        <v>632</v>
      </c>
      <c r="E271" t="s">
        <v>616</v>
      </c>
    </row>
    <row r="272" spans="1:5" x14ac:dyDescent="0.35">
      <c r="A272" t="s">
        <v>582</v>
      </c>
      <c r="B272" t="s">
        <v>936</v>
      </c>
      <c r="C272">
        <v>6</v>
      </c>
      <c r="D272">
        <v>633</v>
      </c>
      <c r="E272" t="s">
        <v>814</v>
      </c>
    </row>
    <row r="273" spans="1:5" x14ac:dyDescent="0.35">
      <c r="A273" t="s">
        <v>579</v>
      </c>
      <c r="B273" t="s">
        <v>937</v>
      </c>
      <c r="C273">
        <v>5</v>
      </c>
      <c r="D273">
        <v>634</v>
      </c>
      <c r="E273" t="s">
        <v>938</v>
      </c>
    </row>
    <row r="274" spans="1:5" x14ac:dyDescent="0.35">
      <c r="A274" t="s">
        <v>582</v>
      </c>
      <c r="B274" t="s">
        <v>939</v>
      </c>
      <c r="C274">
        <v>6</v>
      </c>
      <c r="D274">
        <v>635</v>
      </c>
      <c r="E274" t="s">
        <v>667</v>
      </c>
    </row>
    <row r="275" spans="1:5" x14ac:dyDescent="0.35">
      <c r="A275" t="s">
        <v>582</v>
      </c>
      <c r="B275" t="s">
        <v>940</v>
      </c>
      <c r="C275">
        <v>6</v>
      </c>
      <c r="D275">
        <v>636</v>
      </c>
      <c r="E275" t="s">
        <v>669</v>
      </c>
    </row>
    <row r="276" spans="1:5" x14ac:dyDescent="0.35">
      <c r="A276" t="s">
        <v>579</v>
      </c>
      <c r="B276" t="s">
        <v>941</v>
      </c>
      <c r="C276">
        <v>4</v>
      </c>
      <c r="D276">
        <v>637</v>
      </c>
      <c r="E276" t="s">
        <v>942</v>
      </c>
    </row>
    <row r="277" spans="1:5" x14ac:dyDescent="0.35">
      <c r="A277" t="s">
        <v>579</v>
      </c>
      <c r="B277" t="s">
        <v>943</v>
      </c>
      <c r="C277">
        <v>5</v>
      </c>
      <c r="D277">
        <v>638</v>
      </c>
      <c r="E277" t="s">
        <v>944</v>
      </c>
    </row>
    <row r="278" spans="1:5" x14ac:dyDescent="0.35">
      <c r="A278" t="s">
        <v>582</v>
      </c>
      <c r="B278" t="s">
        <v>945</v>
      </c>
      <c r="C278">
        <v>6</v>
      </c>
      <c r="D278">
        <v>639</v>
      </c>
      <c r="E278" t="s">
        <v>841</v>
      </c>
    </row>
    <row r="279" spans="1:5" x14ac:dyDescent="0.35">
      <c r="A279" t="s">
        <v>582</v>
      </c>
      <c r="B279" t="s">
        <v>946</v>
      </c>
      <c r="C279">
        <v>6</v>
      </c>
      <c r="D279">
        <v>640</v>
      </c>
      <c r="E279" t="s">
        <v>843</v>
      </c>
    </row>
    <row r="280" spans="1:5" x14ac:dyDescent="0.35">
      <c r="A280" t="s">
        <v>579</v>
      </c>
      <c r="B280" t="s">
        <v>947</v>
      </c>
      <c r="C280">
        <v>5</v>
      </c>
      <c r="D280">
        <v>641</v>
      </c>
      <c r="E280" t="s">
        <v>217</v>
      </c>
    </row>
    <row r="281" spans="1:5" x14ac:dyDescent="0.35">
      <c r="A281" t="s">
        <v>582</v>
      </c>
      <c r="B281" t="s">
        <v>948</v>
      </c>
      <c r="C281">
        <v>6</v>
      </c>
      <c r="D281">
        <v>642</v>
      </c>
      <c r="E281" t="s">
        <v>708</v>
      </c>
    </row>
    <row r="282" spans="1:5" x14ac:dyDescent="0.35">
      <c r="A282" t="s">
        <v>582</v>
      </c>
      <c r="B282" t="s">
        <v>949</v>
      </c>
      <c r="C282">
        <v>6</v>
      </c>
      <c r="D282">
        <v>643</v>
      </c>
      <c r="E282" t="s">
        <v>543</v>
      </c>
    </row>
    <row r="283" spans="1:5" x14ac:dyDescent="0.35">
      <c r="A283" t="s">
        <v>582</v>
      </c>
      <c r="B283" t="s">
        <v>950</v>
      </c>
      <c r="C283">
        <v>6</v>
      </c>
      <c r="D283">
        <v>644</v>
      </c>
      <c r="E283" t="s">
        <v>710</v>
      </c>
    </row>
    <row r="284" spans="1:5" x14ac:dyDescent="0.35">
      <c r="A284" t="s">
        <v>582</v>
      </c>
      <c r="B284" t="s">
        <v>951</v>
      </c>
      <c r="C284">
        <v>6</v>
      </c>
      <c r="D284">
        <v>645</v>
      </c>
      <c r="E284" t="s">
        <v>712</v>
      </c>
    </row>
    <row r="285" spans="1:5" x14ac:dyDescent="0.35">
      <c r="A285" t="s">
        <v>582</v>
      </c>
      <c r="B285" t="s">
        <v>952</v>
      </c>
      <c r="C285">
        <v>6</v>
      </c>
      <c r="D285">
        <v>646</v>
      </c>
      <c r="E285" t="s">
        <v>566</v>
      </c>
    </row>
    <row r="286" spans="1:5" x14ac:dyDescent="0.35">
      <c r="A286" t="s">
        <v>582</v>
      </c>
      <c r="B286" t="s">
        <v>953</v>
      </c>
      <c r="C286">
        <v>6</v>
      </c>
      <c r="D286">
        <v>647</v>
      </c>
      <c r="E286" t="s">
        <v>714</v>
      </c>
    </row>
    <row r="287" spans="1:5" x14ac:dyDescent="0.35">
      <c r="A287" t="s">
        <v>579</v>
      </c>
      <c r="B287" t="s">
        <v>954</v>
      </c>
      <c r="C287">
        <v>5</v>
      </c>
      <c r="D287">
        <v>648</v>
      </c>
      <c r="E287" t="s">
        <v>223</v>
      </c>
    </row>
    <row r="288" spans="1:5" x14ac:dyDescent="0.35">
      <c r="A288" t="s">
        <v>582</v>
      </c>
      <c r="B288" t="s">
        <v>955</v>
      </c>
      <c r="C288">
        <v>6</v>
      </c>
      <c r="D288">
        <v>649</v>
      </c>
      <c r="E288" t="s">
        <v>716</v>
      </c>
    </row>
    <row r="289" spans="1:5" x14ac:dyDescent="0.35">
      <c r="A289" t="s">
        <v>582</v>
      </c>
      <c r="B289" t="s">
        <v>956</v>
      </c>
      <c r="C289">
        <v>6</v>
      </c>
      <c r="D289">
        <v>650</v>
      </c>
      <c r="E289" t="s">
        <v>730</v>
      </c>
    </row>
    <row r="290" spans="1:5" x14ac:dyDescent="0.35">
      <c r="A290" t="s">
        <v>582</v>
      </c>
      <c r="B290" t="s">
        <v>957</v>
      </c>
      <c r="C290">
        <v>6</v>
      </c>
      <c r="D290">
        <v>651</v>
      </c>
      <c r="E290" t="s">
        <v>720</v>
      </c>
    </row>
    <row r="291" spans="1:5" x14ac:dyDescent="0.35">
      <c r="A291" t="s">
        <v>582</v>
      </c>
      <c r="B291" t="s">
        <v>958</v>
      </c>
      <c r="C291">
        <v>6</v>
      </c>
      <c r="D291">
        <v>652</v>
      </c>
      <c r="E291" t="s">
        <v>722</v>
      </c>
    </row>
    <row r="292" spans="1:5" x14ac:dyDescent="0.35">
      <c r="A292" t="s">
        <v>582</v>
      </c>
      <c r="B292" t="s">
        <v>959</v>
      </c>
      <c r="C292">
        <v>6</v>
      </c>
      <c r="D292">
        <v>653</v>
      </c>
      <c r="E292" t="s">
        <v>724</v>
      </c>
    </row>
    <row r="293" spans="1:5" x14ac:dyDescent="0.35">
      <c r="A293" t="s">
        <v>582</v>
      </c>
      <c r="B293" t="s">
        <v>960</v>
      </c>
      <c r="C293">
        <v>6</v>
      </c>
      <c r="D293">
        <v>1907</v>
      </c>
      <c r="E293" t="s">
        <v>961</v>
      </c>
    </row>
    <row r="294" spans="1:5" x14ac:dyDescent="0.35">
      <c r="A294" t="s">
        <v>579</v>
      </c>
      <c r="B294" t="s">
        <v>962</v>
      </c>
      <c r="C294">
        <v>5</v>
      </c>
      <c r="D294">
        <v>654</v>
      </c>
      <c r="E294" t="s">
        <v>732</v>
      </c>
    </row>
    <row r="295" spans="1:5" x14ac:dyDescent="0.35">
      <c r="A295" t="s">
        <v>582</v>
      </c>
      <c r="B295" t="s">
        <v>963</v>
      </c>
      <c r="C295">
        <v>6</v>
      </c>
      <c r="D295">
        <v>655</v>
      </c>
      <c r="E295" t="s">
        <v>734</v>
      </c>
    </row>
    <row r="296" spans="1:5" x14ac:dyDescent="0.35">
      <c r="A296" t="s">
        <v>582</v>
      </c>
      <c r="B296" t="s">
        <v>964</v>
      </c>
      <c r="C296">
        <v>6</v>
      </c>
      <c r="D296">
        <v>656</v>
      </c>
      <c r="E296" t="s">
        <v>736</v>
      </c>
    </row>
    <row r="297" spans="1:5" x14ac:dyDescent="0.35">
      <c r="A297" t="s">
        <v>582</v>
      </c>
      <c r="B297" t="s">
        <v>965</v>
      </c>
      <c r="C297">
        <v>6</v>
      </c>
      <c r="D297">
        <v>657</v>
      </c>
      <c r="E297" t="s">
        <v>738</v>
      </c>
    </row>
    <row r="298" spans="1:5" x14ac:dyDescent="0.35">
      <c r="A298" t="s">
        <v>582</v>
      </c>
      <c r="B298" t="s">
        <v>966</v>
      </c>
      <c r="C298">
        <v>6</v>
      </c>
      <c r="D298">
        <v>1973</v>
      </c>
      <c r="E298" t="s">
        <v>740</v>
      </c>
    </row>
    <row r="299" spans="1:5" x14ac:dyDescent="0.35">
      <c r="A299" t="s">
        <v>579</v>
      </c>
      <c r="B299" t="s">
        <v>967</v>
      </c>
      <c r="C299">
        <v>5</v>
      </c>
      <c r="D299">
        <v>658</v>
      </c>
      <c r="E299" t="s">
        <v>742</v>
      </c>
    </row>
    <row r="300" spans="1:5" x14ac:dyDescent="0.35">
      <c r="A300" t="s">
        <v>582</v>
      </c>
      <c r="B300" t="s">
        <v>968</v>
      </c>
      <c r="C300">
        <v>6</v>
      </c>
      <c r="D300">
        <v>659</v>
      </c>
      <c r="E300" t="s">
        <v>742</v>
      </c>
    </row>
    <row r="301" spans="1:5" x14ac:dyDescent="0.35">
      <c r="A301" t="s">
        <v>579</v>
      </c>
      <c r="B301" t="s">
        <v>969</v>
      </c>
      <c r="C301">
        <v>5</v>
      </c>
      <c r="D301">
        <v>660</v>
      </c>
      <c r="E301" t="s">
        <v>759</v>
      </c>
    </row>
    <row r="302" spans="1:5" x14ac:dyDescent="0.35">
      <c r="A302" t="s">
        <v>582</v>
      </c>
      <c r="B302" t="s">
        <v>970</v>
      </c>
      <c r="C302">
        <v>6</v>
      </c>
      <c r="D302">
        <v>661</v>
      </c>
      <c r="E302" t="s">
        <v>761</v>
      </c>
    </row>
    <row r="303" spans="1:5" x14ac:dyDescent="0.35">
      <c r="A303" t="s">
        <v>579</v>
      </c>
      <c r="B303" t="s">
        <v>971</v>
      </c>
      <c r="C303">
        <v>4</v>
      </c>
      <c r="D303">
        <v>662</v>
      </c>
      <c r="E303" t="s">
        <v>972</v>
      </c>
    </row>
    <row r="304" spans="1:5" x14ac:dyDescent="0.35">
      <c r="A304" t="s">
        <v>579</v>
      </c>
      <c r="B304" t="s">
        <v>973</v>
      </c>
      <c r="C304">
        <v>5</v>
      </c>
      <c r="D304">
        <v>663</v>
      </c>
      <c r="E304" t="s">
        <v>877</v>
      </c>
    </row>
    <row r="305" spans="1:5" x14ac:dyDescent="0.35">
      <c r="A305" t="s">
        <v>582</v>
      </c>
      <c r="B305" t="s">
        <v>974</v>
      </c>
      <c r="C305">
        <v>6</v>
      </c>
      <c r="D305">
        <v>664</v>
      </c>
      <c r="E305" t="s">
        <v>24</v>
      </c>
    </row>
    <row r="306" spans="1:5" x14ac:dyDescent="0.35">
      <c r="A306" t="s">
        <v>582</v>
      </c>
      <c r="B306" t="s">
        <v>975</v>
      </c>
      <c r="C306">
        <v>6</v>
      </c>
      <c r="D306">
        <v>665</v>
      </c>
      <c r="E306" t="s">
        <v>25</v>
      </c>
    </row>
    <row r="307" spans="1:5" x14ac:dyDescent="0.35">
      <c r="A307" t="s">
        <v>582</v>
      </c>
      <c r="B307" t="s">
        <v>976</v>
      </c>
      <c r="C307">
        <v>6</v>
      </c>
      <c r="D307">
        <v>666</v>
      </c>
      <c r="E307" t="s">
        <v>26</v>
      </c>
    </row>
    <row r="308" spans="1:5" x14ac:dyDescent="0.35">
      <c r="A308" t="s">
        <v>582</v>
      </c>
      <c r="B308" t="s">
        <v>977</v>
      </c>
      <c r="C308">
        <v>6</v>
      </c>
      <c r="D308">
        <v>667</v>
      </c>
      <c r="E308" t="s">
        <v>882</v>
      </c>
    </row>
    <row r="309" spans="1:5" x14ac:dyDescent="0.35">
      <c r="A309" t="s">
        <v>582</v>
      </c>
      <c r="B309" t="s">
        <v>978</v>
      </c>
      <c r="C309">
        <v>6</v>
      </c>
      <c r="D309">
        <v>668</v>
      </c>
      <c r="E309" t="s">
        <v>167</v>
      </c>
    </row>
    <row r="310" spans="1:5" x14ac:dyDescent="0.35">
      <c r="A310" t="s">
        <v>582</v>
      </c>
      <c r="B310" t="s">
        <v>979</v>
      </c>
      <c r="C310">
        <v>6</v>
      </c>
      <c r="D310">
        <v>1911</v>
      </c>
      <c r="E310" t="s">
        <v>980</v>
      </c>
    </row>
    <row r="311" spans="1:5" x14ac:dyDescent="0.35">
      <c r="A311" t="s">
        <v>582</v>
      </c>
      <c r="B311" t="s">
        <v>981</v>
      </c>
      <c r="C311">
        <v>6</v>
      </c>
      <c r="D311">
        <v>669</v>
      </c>
      <c r="E311" t="s">
        <v>774</v>
      </c>
    </row>
    <row r="312" spans="1:5" x14ac:dyDescent="0.35">
      <c r="A312" t="s">
        <v>582</v>
      </c>
      <c r="B312" t="s">
        <v>982</v>
      </c>
      <c r="C312">
        <v>6</v>
      </c>
      <c r="D312">
        <v>670</v>
      </c>
      <c r="E312" t="s">
        <v>775</v>
      </c>
    </row>
    <row r="313" spans="1:5" x14ac:dyDescent="0.35">
      <c r="A313" t="s">
        <v>579</v>
      </c>
      <c r="B313" t="s">
        <v>983</v>
      </c>
      <c r="C313">
        <v>4</v>
      </c>
      <c r="D313">
        <v>671</v>
      </c>
      <c r="E313" t="s">
        <v>984</v>
      </c>
    </row>
    <row r="314" spans="1:5" x14ac:dyDescent="0.35">
      <c r="A314" t="s">
        <v>579</v>
      </c>
      <c r="B314" t="s">
        <v>985</v>
      </c>
      <c r="C314">
        <v>5</v>
      </c>
      <c r="D314">
        <v>672</v>
      </c>
      <c r="E314" t="s">
        <v>779</v>
      </c>
    </row>
    <row r="315" spans="1:5" x14ac:dyDescent="0.35">
      <c r="A315" t="s">
        <v>582</v>
      </c>
      <c r="B315" t="s">
        <v>986</v>
      </c>
      <c r="C315">
        <v>6</v>
      </c>
      <c r="D315">
        <v>673</v>
      </c>
      <c r="E315" t="s">
        <v>781</v>
      </c>
    </row>
    <row r="316" spans="1:5" x14ac:dyDescent="0.35">
      <c r="A316" t="s">
        <v>582</v>
      </c>
      <c r="B316" t="s">
        <v>987</v>
      </c>
      <c r="C316">
        <v>6</v>
      </c>
      <c r="D316">
        <v>674</v>
      </c>
      <c r="E316" t="s">
        <v>783</v>
      </c>
    </row>
    <row r="317" spans="1:5" x14ac:dyDescent="0.35">
      <c r="A317" t="s">
        <v>582</v>
      </c>
      <c r="B317" t="s">
        <v>988</v>
      </c>
      <c r="C317">
        <v>6</v>
      </c>
      <c r="D317">
        <v>675</v>
      </c>
      <c r="E317" t="s">
        <v>785</v>
      </c>
    </row>
    <row r="318" spans="1:5" x14ac:dyDescent="0.35">
      <c r="A318" t="s">
        <v>582</v>
      </c>
      <c r="B318" t="s">
        <v>989</v>
      </c>
      <c r="C318">
        <v>6</v>
      </c>
      <c r="D318">
        <v>676</v>
      </c>
      <c r="E318" t="s">
        <v>787</v>
      </c>
    </row>
    <row r="319" spans="1:5" x14ac:dyDescent="0.35">
      <c r="A319" t="s">
        <v>579</v>
      </c>
      <c r="B319" t="s">
        <v>263</v>
      </c>
      <c r="C319">
        <v>2</v>
      </c>
      <c r="D319">
        <v>58</v>
      </c>
      <c r="E319" t="s">
        <v>264</v>
      </c>
    </row>
    <row r="320" spans="1:5" x14ac:dyDescent="0.35">
      <c r="A320" t="s">
        <v>579</v>
      </c>
      <c r="B320" t="s">
        <v>266</v>
      </c>
      <c r="C320">
        <v>3</v>
      </c>
      <c r="D320">
        <v>677</v>
      </c>
      <c r="E320" t="s">
        <v>267</v>
      </c>
    </row>
    <row r="321" spans="1:5" x14ac:dyDescent="0.35">
      <c r="A321" t="s">
        <v>579</v>
      </c>
      <c r="B321" t="s">
        <v>990</v>
      </c>
      <c r="C321">
        <v>4</v>
      </c>
      <c r="D321">
        <v>47</v>
      </c>
      <c r="E321" t="s">
        <v>991</v>
      </c>
    </row>
    <row r="322" spans="1:5" x14ac:dyDescent="0.35">
      <c r="A322" t="s">
        <v>579</v>
      </c>
      <c r="B322" t="s">
        <v>992</v>
      </c>
      <c r="C322">
        <v>5</v>
      </c>
      <c r="D322">
        <v>55</v>
      </c>
      <c r="E322" t="s">
        <v>993</v>
      </c>
    </row>
    <row r="323" spans="1:5" x14ac:dyDescent="0.35">
      <c r="A323" t="s">
        <v>582</v>
      </c>
      <c r="B323" t="s">
        <v>994</v>
      </c>
      <c r="C323">
        <v>6</v>
      </c>
      <c r="D323">
        <v>678</v>
      </c>
      <c r="E323" t="s">
        <v>993</v>
      </c>
    </row>
    <row r="324" spans="1:5" x14ac:dyDescent="0.35">
      <c r="A324" t="s">
        <v>582</v>
      </c>
      <c r="B324" t="s">
        <v>995</v>
      </c>
      <c r="C324">
        <v>6</v>
      </c>
      <c r="D324">
        <v>679</v>
      </c>
      <c r="E324" t="s">
        <v>996</v>
      </c>
    </row>
    <row r="325" spans="1:5" x14ac:dyDescent="0.35">
      <c r="A325" t="s">
        <v>582</v>
      </c>
      <c r="B325" t="s">
        <v>997</v>
      </c>
      <c r="C325">
        <v>6</v>
      </c>
      <c r="D325">
        <v>680</v>
      </c>
      <c r="E325" t="s">
        <v>998</v>
      </c>
    </row>
    <row r="326" spans="1:5" x14ac:dyDescent="0.35">
      <c r="A326" t="s">
        <v>582</v>
      </c>
      <c r="B326" t="s">
        <v>999</v>
      </c>
      <c r="C326">
        <v>6</v>
      </c>
      <c r="D326">
        <v>681</v>
      </c>
      <c r="E326" t="s">
        <v>1000</v>
      </c>
    </row>
    <row r="327" spans="1:5" x14ac:dyDescent="0.35">
      <c r="A327" t="s">
        <v>579</v>
      </c>
      <c r="B327" t="s">
        <v>1001</v>
      </c>
      <c r="C327">
        <v>5</v>
      </c>
      <c r="D327">
        <v>52</v>
      </c>
      <c r="E327" t="s">
        <v>1002</v>
      </c>
    </row>
    <row r="328" spans="1:5" x14ac:dyDescent="0.35">
      <c r="A328" t="s">
        <v>582</v>
      </c>
      <c r="B328" t="s">
        <v>1003</v>
      </c>
      <c r="C328">
        <v>6</v>
      </c>
      <c r="D328">
        <v>682</v>
      </c>
      <c r="E328" t="s">
        <v>1002</v>
      </c>
    </row>
    <row r="329" spans="1:5" x14ac:dyDescent="0.35">
      <c r="A329" t="s">
        <v>579</v>
      </c>
      <c r="B329" t="s">
        <v>1004</v>
      </c>
      <c r="C329">
        <v>5</v>
      </c>
      <c r="D329">
        <v>683</v>
      </c>
      <c r="E329" t="s">
        <v>1005</v>
      </c>
    </row>
    <row r="330" spans="1:5" x14ac:dyDescent="0.35">
      <c r="A330" t="s">
        <v>582</v>
      </c>
      <c r="B330" t="s">
        <v>1006</v>
      </c>
      <c r="C330">
        <v>6</v>
      </c>
      <c r="D330">
        <v>684</v>
      </c>
      <c r="E330" t="s">
        <v>1007</v>
      </c>
    </row>
    <row r="331" spans="1:5" x14ac:dyDescent="0.35">
      <c r="A331" t="s">
        <v>582</v>
      </c>
      <c r="B331" t="s">
        <v>1008</v>
      </c>
      <c r="C331">
        <v>6</v>
      </c>
      <c r="D331">
        <v>685</v>
      </c>
      <c r="E331" t="s">
        <v>1009</v>
      </c>
    </row>
    <row r="332" spans="1:5" x14ac:dyDescent="0.35">
      <c r="A332" t="s">
        <v>582</v>
      </c>
      <c r="B332" t="s">
        <v>1010</v>
      </c>
      <c r="C332">
        <v>6</v>
      </c>
      <c r="D332">
        <v>686</v>
      </c>
      <c r="E332" t="s">
        <v>1011</v>
      </c>
    </row>
    <row r="333" spans="1:5" x14ac:dyDescent="0.35">
      <c r="A333" t="s">
        <v>582</v>
      </c>
      <c r="B333" t="s">
        <v>1012</v>
      </c>
      <c r="C333">
        <v>6</v>
      </c>
      <c r="D333">
        <v>687</v>
      </c>
      <c r="E333" t="s">
        <v>1013</v>
      </c>
    </row>
    <row r="334" spans="1:5" x14ac:dyDescent="0.35">
      <c r="A334" t="s">
        <v>582</v>
      </c>
      <c r="B334" t="s">
        <v>1014</v>
      </c>
      <c r="C334">
        <v>6</v>
      </c>
      <c r="D334">
        <v>2243</v>
      </c>
      <c r="E334" t="s">
        <v>1015</v>
      </c>
    </row>
    <row r="335" spans="1:5" x14ac:dyDescent="0.35">
      <c r="A335" t="s">
        <v>582</v>
      </c>
      <c r="B335" t="s">
        <v>1016</v>
      </c>
      <c r="C335">
        <v>6</v>
      </c>
      <c r="D335">
        <v>1868</v>
      </c>
      <c r="E335" t="s">
        <v>738</v>
      </c>
    </row>
    <row r="336" spans="1:5" x14ac:dyDescent="0.35">
      <c r="A336" t="s">
        <v>579</v>
      </c>
      <c r="B336" t="s">
        <v>1017</v>
      </c>
      <c r="C336">
        <v>5</v>
      </c>
      <c r="D336">
        <v>688</v>
      </c>
      <c r="E336" t="s">
        <v>1018</v>
      </c>
    </row>
    <row r="337" spans="1:5" x14ac:dyDescent="0.35">
      <c r="A337" t="s">
        <v>582</v>
      </c>
      <c r="B337" t="s">
        <v>1019</v>
      </c>
      <c r="C337">
        <v>6</v>
      </c>
      <c r="D337">
        <v>689</v>
      </c>
      <c r="E337" t="s">
        <v>592</v>
      </c>
    </row>
    <row r="338" spans="1:5" x14ac:dyDescent="0.35">
      <c r="A338" t="s">
        <v>582</v>
      </c>
      <c r="B338" t="s">
        <v>1020</v>
      </c>
      <c r="C338">
        <v>6</v>
      </c>
      <c r="D338">
        <v>690</v>
      </c>
      <c r="E338" t="s">
        <v>616</v>
      </c>
    </row>
    <row r="339" spans="1:5" x14ac:dyDescent="0.35">
      <c r="A339" t="s">
        <v>582</v>
      </c>
      <c r="B339" t="s">
        <v>1021</v>
      </c>
      <c r="C339">
        <v>6</v>
      </c>
      <c r="D339">
        <v>691</v>
      </c>
      <c r="E339" t="s">
        <v>612</v>
      </c>
    </row>
    <row r="340" spans="1:5" x14ac:dyDescent="0.35">
      <c r="A340" t="s">
        <v>582</v>
      </c>
      <c r="B340" t="s">
        <v>1022</v>
      </c>
      <c r="C340">
        <v>6</v>
      </c>
      <c r="D340">
        <v>692</v>
      </c>
      <c r="E340" t="s">
        <v>1023</v>
      </c>
    </row>
    <row r="341" spans="1:5" x14ac:dyDescent="0.35">
      <c r="A341" t="s">
        <v>582</v>
      </c>
      <c r="B341" t="s">
        <v>1024</v>
      </c>
      <c r="C341">
        <v>6</v>
      </c>
      <c r="D341">
        <v>1950</v>
      </c>
      <c r="E341" t="s">
        <v>1025</v>
      </c>
    </row>
    <row r="342" spans="1:5" x14ac:dyDescent="0.35">
      <c r="A342" t="s">
        <v>582</v>
      </c>
      <c r="B342" t="s">
        <v>1026</v>
      </c>
      <c r="C342">
        <v>6</v>
      </c>
      <c r="D342">
        <v>1951</v>
      </c>
      <c r="E342" t="s">
        <v>1027</v>
      </c>
    </row>
    <row r="343" spans="1:5" x14ac:dyDescent="0.35">
      <c r="A343" t="s">
        <v>582</v>
      </c>
      <c r="B343" t="s">
        <v>1028</v>
      </c>
      <c r="C343">
        <v>6</v>
      </c>
      <c r="D343">
        <v>1952</v>
      </c>
      <c r="E343" t="s">
        <v>1029</v>
      </c>
    </row>
    <row r="344" spans="1:5" x14ac:dyDescent="0.35">
      <c r="A344" t="s">
        <v>582</v>
      </c>
      <c r="B344" t="s">
        <v>1030</v>
      </c>
      <c r="C344">
        <v>6</v>
      </c>
      <c r="D344">
        <v>2065</v>
      </c>
      <c r="E344" t="s">
        <v>626</v>
      </c>
    </row>
    <row r="345" spans="1:5" x14ac:dyDescent="0.35">
      <c r="A345" t="s">
        <v>582</v>
      </c>
      <c r="B345" t="s">
        <v>1031</v>
      </c>
      <c r="C345">
        <v>6</v>
      </c>
      <c r="D345">
        <v>2299</v>
      </c>
      <c r="E345" t="s">
        <v>634</v>
      </c>
    </row>
    <row r="346" spans="1:5" x14ac:dyDescent="0.35">
      <c r="A346" t="s">
        <v>579</v>
      </c>
      <c r="B346" t="s">
        <v>1032</v>
      </c>
      <c r="C346">
        <v>5</v>
      </c>
      <c r="D346">
        <v>1903</v>
      </c>
      <c r="E346" t="s">
        <v>1033</v>
      </c>
    </row>
    <row r="347" spans="1:5" x14ac:dyDescent="0.35">
      <c r="A347" t="s">
        <v>582</v>
      </c>
      <c r="B347" t="s">
        <v>1034</v>
      </c>
      <c r="C347">
        <v>6</v>
      </c>
      <c r="D347">
        <v>1904</v>
      </c>
      <c r="E347" t="s">
        <v>1035</v>
      </c>
    </row>
    <row r="348" spans="1:5" x14ac:dyDescent="0.35">
      <c r="A348" t="s">
        <v>579</v>
      </c>
      <c r="B348" t="s">
        <v>1036</v>
      </c>
      <c r="C348">
        <v>5</v>
      </c>
      <c r="D348">
        <v>1953</v>
      </c>
      <c r="E348" t="s">
        <v>1037</v>
      </c>
    </row>
    <row r="349" spans="1:5" x14ac:dyDescent="0.35">
      <c r="A349" t="s">
        <v>582</v>
      </c>
      <c r="B349" t="s">
        <v>1038</v>
      </c>
      <c r="C349">
        <v>6</v>
      </c>
      <c r="D349">
        <v>1954</v>
      </c>
      <c r="E349" t="s">
        <v>1039</v>
      </c>
    </row>
    <row r="350" spans="1:5" x14ac:dyDescent="0.35">
      <c r="A350" t="s">
        <v>579</v>
      </c>
      <c r="B350" t="s">
        <v>1040</v>
      </c>
      <c r="C350">
        <v>4</v>
      </c>
      <c r="D350">
        <v>59</v>
      </c>
      <c r="E350" t="s">
        <v>1041</v>
      </c>
    </row>
    <row r="351" spans="1:5" x14ac:dyDescent="0.35">
      <c r="A351" t="s">
        <v>579</v>
      </c>
      <c r="B351" t="s">
        <v>1042</v>
      </c>
      <c r="C351">
        <v>5</v>
      </c>
      <c r="D351">
        <v>60</v>
      </c>
      <c r="E351" t="s">
        <v>1043</v>
      </c>
    </row>
    <row r="352" spans="1:5" x14ac:dyDescent="0.35">
      <c r="A352" t="s">
        <v>582</v>
      </c>
      <c r="B352" t="s">
        <v>1044</v>
      </c>
      <c r="C352">
        <v>6</v>
      </c>
      <c r="D352">
        <v>693</v>
      </c>
      <c r="E352" t="s">
        <v>1045</v>
      </c>
    </row>
    <row r="353" spans="1:5" x14ac:dyDescent="0.35">
      <c r="A353" t="s">
        <v>579</v>
      </c>
      <c r="B353" t="s">
        <v>270</v>
      </c>
      <c r="C353">
        <v>4</v>
      </c>
      <c r="D353">
        <v>694</v>
      </c>
      <c r="E353" t="s">
        <v>271</v>
      </c>
    </row>
    <row r="354" spans="1:5" x14ac:dyDescent="0.35">
      <c r="A354" t="s">
        <v>579</v>
      </c>
      <c r="B354" t="s">
        <v>272</v>
      </c>
      <c r="C354">
        <v>5</v>
      </c>
      <c r="D354">
        <v>695</v>
      </c>
      <c r="E354" t="s">
        <v>84</v>
      </c>
    </row>
    <row r="355" spans="1:5" x14ac:dyDescent="0.35">
      <c r="A355" t="s">
        <v>582</v>
      </c>
      <c r="B355" t="s">
        <v>1046</v>
      </c>
      <c r="C355">
        <v>6</v>
      </c>
      <c r="D355">
        <v>696</v>
      </c>
      <c r="E355" t="s">
        <v>1047</v>
      </c>
    </row>
    <row r="356" spans="1:5" x14ac:dyDescent="0.35">
      <c r="A356" t="s">
        <v>582</v>
      </c>
      <c r="B356" t="s">
        <v>1048</v>
      </c>
      <c r="C356">
        <v>6</v>
      </c>
      <c r="D356">
        <v>697</v>
      </c>
      <c r="E356" t="s">
        <v>1049</v>
      </c>
    </row>
    <row r="357" spans="1:5" x14ac:dyDescent="0.35">
      <c r="A357" t="s">
        <v>582</v>
      </c>
      <c r="B357" t="s">
        <v>1050</v>
      </c>
      <c r="C357">
        <v>6</v>
      </c>
      <c r="D357">
        <v>698</v>
      </c>
      <c r="E357" t="s">
        <v>1051</v>
      </c>
    </row>
    <row r="358" spans="1:5" x14ac:dyDescent="0.35">
      <c r="A358" t="s">
        <v>582</v>
      </c>
      <c r="B358" t="s">
        <v>1052</v>
      </c>
      <c r="C358">
        <v>6</v>
      </c>
      <c r="D358">
        <v>699</v>
      </c>
      <c r="E358" t="s">
        <v>1053</v>
      </c>
    </row>
    <row r="359" spans="1:5" x14ac:dyDescent="0.35">
      <c r="A359" t="s">
        <v>582</v>
      </c>
      <c r="B359" t="s">
        <v>1054</v>
      </c>
      <c r="C359">
        <v>6</v>
      </c>
      <c r="D359">
        <v>700</v>
      </c>
      <c r="E359" t="s">
        <v>1055</v>
      </c>
    </row>
    <row r="360" spans="1:5" x14ac:dyDescent="0.35">
      <c r="A360" t="s">
        <v>582</v>
      </c>
      <c r="B360" t="s">
        <v>1056</v>
      </c>
      <c r="C360">
        <v>6</v>
      </c>
      <c r="D360">
        <v>701</v>
      </c>
      <c r="E360" t="s">
        <v>289</v>
      </c>
    </row>
    <row r="361" spans="1:5" x14ac:dyDescent="0.35">
      <c r="A361" t="s">
        <v>582</v>
      </c>
      <c r="B361" t="s">
        <v>1057</v>
      </c>
      <c r="C361">
        <v>6</v>
      </c>
      <c r="D361">
        <v>702</v>
      </c>
      <c r="E361" t="s">
        <v>338</v>
      </c>
    </row>
    <row r="362" spans="1:5" x14ac:dyDescent="0.35">
      <c r="A362" t="s">
        <v>582</v>
      </c>
      <c r="B362" t="s">
        <v>1058</v>
      </c>
      <c r="C362">
        <v>6</v>
      </c>
      <c r="D362">
        <v>703</v>
      </c>
      <c r="E362" t="s">
        <v>1059</v>
      </c>
    </row>
    <row r="363" spans="1:5" x14ac:dyDescent="0.35">
      <c r="A363" t="s">
        <v>582</v>
      </c>
      <c r="B363" t="s">
        <v>273</v>
      </c>
      <c r="C363">
        <v>6</v>
      </c>
      <c r="D363">
        <v>704</v>
      </c>
      <c r="E363" t="s">
        <v>1060</v>
      </c>
    </row>
    <row r="364" spans="1:5" x14ac:dyDescent="0.35">
      <c r="A364" t="s">
        <v>582</v>
      </c>
      <c r="B364" t="s">
        <v>1061</v>
      </c>
      <c r="C364">
        <v>6</v>
      </c>
      <c r="D364">
        <v>705</v>
      </c>
      <c r="E364" t="s">
        <v>1062</v>
      </c>
    </row>
    <row r="365" spans="1:5" x14ac:dyDescent="0.35">
      <c r="A365" t="s">
        <v>582</v>
      </c>
      <c r="B365" t="s">
        <v>1063</v>
      </c>
      <c r="C365">
        <v>6</v>
      </c>
      <c r="D365">
        <v>706</v>
      </c>
      <c r="E365" t="s">
        <v>1064</v>
      </c>
    </row>
    <row r="366" spans="1:5" x14ac:dyDescent="0.35">
      <c r="A366" t="s">
        <v>582</v>
      </c>
      <c r="B366" t="s">
        <v>1065</v>
      </c>
      <c r="C366">
        <v>6</v>
      </c>
      <c r="D366">
        <v>707</v>
      </c>
      <c r="E366" t="s">
        <v>1066</v>
      </c>
    </row>
    <row r="367" spans="1:5" x14ac:dyDescent="0.35">
      <c r="A367" t="s">
        <v>582</v>
      </c>
      <c r="B367" t="s">
        <v>1067</v>
      </c>
      <c r="C367">
        <v>6</v>
      </c>
      <c r="D367">
        <v>708</v>
      </c>
      <c r="E367" t="s">
        <v>1068</v>
      </c>
    </row>
    <row r="368" spans="1:5" x14ac:dyDescent="0.35">
      <c r="A368" t="s">
        <v>582</v>
      </c>
      <c r="B368" t="s">
        <v>1069</v>
      </c>
      <c r="C368">
        <v>6</v>
      </c>
      <c r="D368">
        <v>709</v>
      </c>
      <c r="E368" t="s">
        <v>1070</v>
      </c>
    </row>
    <row r="369" spans="1:5" x14ac:dyDescent="0.35">
      <c r="A369" t="s">
        <v>582</v>
      </c>
      <c r="B369" t="s">
        <v>1071</v>
      </c>
      <c r="C369">
        <v>6</v>
      </c>
      <c r="D369">
        <v>710</v>
      </c>
      <c r="E369" t="s">
        <v>1072</v>
      </c>
    </row>
    <row r="370" spans="1:5" x14ac:dyDescent="0.35">
      <c r="A370" t="s">
        <v>582</v>
      </c>
      <c r="B370" t="s">
        <v>1073</v>
      </c>
      <c r="C370">
        <v>6</v>
      </c>
      <c r="D370">
        <v>711</v>
      </c>
      <c r="E370" t="s">
        <v>1074</v>
      </c>
    </row>
    <row r="371" spans="1:5" x14ac:dyDescent="0.35">
      <c r="A371" t="s">
        <v>582</v>
      </c>
      <c r="B371" t="s">
        <v>1075</v>
      </c>
      <c r="C371">
        <v>6</v>
      </c>
      <c r="D371">
        <v>712</v>
      </c>
      <c r="E371" t="s">
        <v>1076</v>
      </c>
    </row>
    <row r="372" spans="1:5" x14ac:dyDescent="0.35">
      <c r="A372" t="s">
        <v>582</v>
      </c>
      <c r="B372" t="s">
        <v>1077</v>
      </c>
      <c r="C372">
        <v>6</v>
      </c>
      <c r="D372">
        <v>713</v>
      </c>
      <c r="E372" t="s">
        <v>1078</v>
      </c>
    </row>
    <row r="373" spans="1:5" x14ac:dyDescent="0.35">
      <c r="A373" t="s">
        <v>582</v>
      </c>
      <c r="B373" t="s">
        <v>1079</v>
      </c>
      <c r="C373">
        <v>6</v>
      </c>
      <c r="D373">
        <v>2225</v>
      </c>
      <c r="E373" t="s">
        <v>1080</v>
      </c>
    </row>
    <row r="374" spans="1:5" x14ac:dyDescent="0.35">
      <c r="A374" t="s">
        <v>582</v>
      </c>
      <c r="B374" t="s">
        <v>1081</v>
      </c>
      <c r="C374">
        <v>6</v>
      </c>
      <c r="D374">
        <v>714</v>
      </c>
      <c r="E374" t="s">
        <v>1082</v>
      </c>
    </row>
    <row r="375" spans="1:5" x14ac:dyDescent="0.35">
      <c r="A375" t="s">
        <v>579</v>
      </c>
      <c r="B375" t="s">
        <v>1083</v>
      </c>
      <c r="C375">
        <v>5</v>
      </c>
      <c r="D375">
        <v>715</v>
      </c>
      <c r="E375" t="s">
        <v>1084</v>
      </c>
    </row>
    <row r="376" spans="1:5" x14ac:dyDescent="0.35">
      <c r="A376" t="s">
        <v>582</v>
      </c>
      <c r="B376" t="s">
        <v>1085</v>
      </c>
      <c r="C376">
        <v>6</v>
      </c>
      <c r="D376">
        <v>716</v>
      </c>
      <c r="E376" t="s">
        <v>1086</v>
      </c>
    </row>
    <row r="377" spans="1:5" x14ac:dyDescent="0.35">
      <c r="A377" t="s">
        <v>582</v>
      </c>
      <c r="B377" t="s">
        <v>1087</v>
      </c>
      <c r="C377">
        <v>6</v>
      </c>
      <c r="D377">
        <v>717</v>
      </c>
      <c r="E377" t="s">
        <v>1088</v>
      </c>
    </row>
    <row r="378" spans="1:5" x14ac:dyDescent="0.35">
      <c r="A378" t="s">
        <v>579</v>
      </c>
      <c r="B378" t="s">
        <v>275</v>
      </c>
      <c r="C378">
        <v>5</v>
      </c>
      <c r="D378">
        <v>718</v>
      </c>
      <c r="E378" t="s">
        <v>276</v>
      </c>
    </row>
    <row r="379" spans="1:5" x14ac:dyDescent="0.35">
      <c r="A379" t="s">
        <v>582</v>
      </c>
      <c r="B379" t="s">
        <v>1089</v>
      </c>
      <c r="C379">
        <v>6</v>
      </c>
      <c r="D379">
        <v>719</v>
      </c>
      <c r="E379" t="s">
        <v>1090</v>
      </c>
    </row>
    <row r="380" spans="1:5" x14ac:dyDescent="0.35">
      <c r="A380" t="s">
        <v>582</v>
      </c>
      <c r="B380" t="s">
        <v>1091</v>
      </c>
      <c r="C380">
        <v>6</v>
      </c>
      <c r="D380">
        <v>720</v>
      </c>
      <c r="E380" t="s">
        <v>1092</v>
      </c>
    </row>
    <row r="381" spans="1:5" x14ac:dyDescent="0.35">
      <c r="A381" t="s">
        <v>582</v>
      </c>
      <c r="B381" t="s">
        <v>1093</v>
      </c>
      <c r="C381">
        <v>6</v>
      </c>
      <c r="D381">
        <v>721</v>
      </c>
      <c r="E381" t="s">
        <v>1094</v>
      </c>
    </row>
    <row r="382" spans="1:5" x14ac:dyDescent="0.35">
      <c r="A382" t="s">
        <v>582</v>
      </c>
      <c r="B382" t="s">
        <v>1095</v>
      </c>
      <c r="C382">
        <v>6</v>
      </c>
      <c r="D382">
        <v>722</v>
      </c>
      <c r="E382" t="s">
        <v>1096</v>
      </c>
    </row>
    <row r="383" spans="1:5" x14ac:dyDescent="0.35">
      <c r="A383" t="s">
        <v>582</v>
      </c>
      <c r="B383" t="s">
        <v>1097</v>
      </c>
      <c r="C383">
        <v>6</v>
      </c>
      <c r="D383">
        <v>723</v>
      </c>
      <c r="E383" t="s">
        <v>1098</v>
      </c>
    </row>
    <row r="384" spans="1:5" x14ac:dyDescent="0.35">
      <c r="A384" t="s">
        <v>582</v>
      </c>
      <c r="B384" t="s">
        <v>1099</v>
      </c>
      <c r="C384">
        <v>6</v>
      </c>
      <c r="D384">
        <v>724</v>
      </c>
      <c r="E384" t="s">
        <v>1100</v>
      </c>
    </row>
    <row r="385" spans="1:5" x14ac:dyDescent="0.35">
      <c r="A385" t="s">
        <v>582</v>
      </c>
      <c r="B385" t="s">
        <v>1101</v>
      </c>
      <c r="C385">
        <v>6</v>
      </c>
      <c r="D385">
        <v>725</v>
      </c>
      <c r="E385" t="s">
        <v>1102</v>
      </c>
    </row>
    <row r="386" spans="1:5" x14ac:dyDescent="0.35">
      <c r="A386" t="s">
        <v>582</v>
      </c>
      <c r="B386" t="s">
        <v>277</v>
      </c>
      <c r="C386">
        <v>6</v>
      </c>
      <c r="D386">
        <v>726</v>
      </c>
      <c r="E386" t="s">
        <v>1103</v>
      </c>
    </row>
    <row r="387" spans="1:5" x14ac:dyDescent="0.35">
      <c r="A387" t="s">
        <v>582</v>
      </c>
      <c r="B387" t="s">
        <v>1104</v>
      </c>
      <c r="C387">
        <v>6</v>
      </c>
      <c r="D387">
        <v>727</v>
      </c>
      <c r="E387" t="s">
        <v>1105</v>
      </c>
    </row>
    <row r="388" spans="1:5" x14ac:dyDescent="0.35">
      <c r="A388" t="s">
        <v>582</v>
      </c>
      <c r="B388" t="s">
        <v>1106</v>
      </c>
      <c r="C388">
        <v>6</v>
      </c>
      <c r="D388">
        <v>728</v>
      </c>
      <c r="E388" t="s">
        <v>1107</v>
      </c>
    </row>
    <row r="389" spans="1:5" x14ac:dyDescent="0.35">
      <c r="A389" t="s">
        <v>582</v>
      </c>
      <c r="B389" t="s">
        <v>1108</v>
      </c>
      <c r="C389">
        <v>6</v>
      </c>
      <c r="D389">
        <v>729</v>
      </c>
      <c r="E389" t="s">
        <v>1109</v>
      </c>
    </row>
    <row r="390" spans="1:5" x14ac:dyDescent="0.35">
      <c r="A390" t="s">
        <v>582</v>
      </c>
      <c r="B390" t="s">
        <v>1110</v>
      </c>
      <c r="C390">
        <v>6</v>
      </c>
      <c r="D390">
        <v>730</v>
      </c>
      <c r="E390" t="s">
        <v>1111</v>
      </c>
    </row>
    <row r="391" spans="1:5" x14ac:dyDescent="0.35">
      <c r="A391" t="s">
        <v>582</v>
      </c>
      <c r="B391" t="s">
        <v>1112</v>
      </c>
      <c r="C391">
        <v>6</v>
      </c>
      <c r="D391">
        <v>731</v>
      </c>
      <c r="E391" t="s">
        <v>1113</v>
      </c>
    </row>
    <row r="392" spans="1:5" x14ac:dyDescent="0.35">
      <c r="A392" t="s">
        <v>582</v>
      </c>
      <c r="B392" t="s">
        <v>1114</v>
      </c>
      <c r="C392">
        <v>6</v>
      </c>
      <c r="D392">
        <v>2235</v>
      </c>
      <c r="E392" t="s">
        <v>1115</v>
      </c>
    </row>
    <row r="393" spans="1:5" x14ac:dyDescent="0.35">
      <c r="A393" t="s">
        <v>579</v>
      </c>
      <c r="B393" t="s">
        <v>279</v>
      </c>
      <c r="C393">
        <v>5</v>
      </c>
      <c r="D393">
        <v>732</v>
      </c>
      <c r="E393" t="s">
        <v>280</v>
      </c>
    </row>
    <row r="394" spans="1:5" x14ac:dyDescent="0.35">
      <c r="A394" t="s">
        <v>582</v>
      </c>
      <c r="B394" t="s">
        <v>282</v>
      </c>
      <c r="C394">
        <v>6</v>
      </c>
      <c r="D394">
        <v>733</v>
      </c>
      <c r="E394" t="s">
        <v>283</v>
      </c>
    </row>
    <row r="395" spans="1:5" x14ac:dyDescent="0.35">
      <c r="A395" t="s">
        <v>582</v>
      </c>
      <c r="B395" t="s">
        <v>284</v>
      </c>
      <c r="C395">
        <v>6</v>
      </c>
      <c r="D395">
        <v>734</v>
      </c>
      <c r="E395" t="s">
        <v>285</v>
      </c>
    </row>
    <row r="396" spans="1:5" x14ac:dyDescent="0.35">
      <c r="A396" t="s">
        <v>582</v>
      </c>
      <c r="B396" t="s">
        <v>287</v>
      </c>
      <c r="C396">
        <v>6</v>
      </c>
      <c r="D396">
        <v>735</v>
      </c>
      <c r="E396" t="s">
        <v>288</v>
      </c>
    </row>
    <row r="397" spans="1:5" x14ac:dyDescent="0.35">
      <c r="A397" t="s">
        <v>582</v>
      </c>
      <c r="B397" t="s">
        <v>290</v>
      </c>
      <c r="C397">
        <v>6</v>
      </c>
      <c r="D397">
        <v>736</v>
      </c>
      <c r="E397" t="s">
        <v>291</v>
      </c>
    </row>
    <row r="398" spans="1:5" x14ac:dyDescent="0.35">
      <c r="A398" t="s">
        <v>582</v>
      </c>
      <c r="B398" t="s">
        <v>1116</v>
      </c>
      <c r="C398">
        <v>6</v>
      </c>
      <c r="D398">
        <v>737</v>
      </c>
      <c r="E398" t="s">
        <v>1117</v>
      </c>
    </row>
    <row r="399" spans="1:5" x14ac:dyDescent="0.35">
      <c r="A399" t="s">
        <v>582</v>
      </c>
      <c r="B399" t="s">
        <v>292</v>
      </c>
      <c r="C399">
        <v>6</v>
      </c>
      <c r="D399">
        <v>738</v>
      </c>
      <c r="E399" t="s">
        <v>1118</v>
      </c>
    </row>
    <row r="400" spans="1:5" x14ac:dyDescent="0.35">
      <c r="A400" t="s">
        <v>582</v>
      </c>
      <c r="B400" t="s">
        <v>1119</v>
      </c>
      <c r="C400">
        <v>6</v>
      </c>
      <c r="D400">
        <v>739</v>
      </c>
      <c r="E400" t="s">
        <v>1120</v>
      </c>
    </row>
    <row r="401" spans="1:5" x14ac:dyDescent="0.35">
      <c r="A401" t="s">
        <v>582</v>
      </c>
      <c r="B401" t="s">
        <v>294</v>
      </c>
      <c r="C401">
        <v>6</v>
      </c>
      <c r="D401">
        <v>740</v>
      </c>
      <c r="E401" t="s">
        <v>295</v>
      </c>
    </row>
    <row r="402" spans="1:5" x14ac:dyDescent="0.35">
      <c r="A402" t="s">
        <v>582</v>
      </c>
      <c r="B402" t="s">
        <v>1121</v>
      </c>
      <c r="C402">
        <v>6</v>
      </c>
      <c r="D402">
        <v>741</v>
      </c>
      <c r="E402" t="s">
        <v>1122</v>
      </c>
    </row>
    <row r="403" spans="1:5" x14ac:dyDescent="0.35">
      <c r="A403" t="s">
        <v>582</v>
      </c>
      <c r="B403" t="s">
        <v>296</v>
      </c>
      <c r="C403">
        <v>6</v>
      </c>
      <c r="D403">
        <v>1902</v>
      </c>
      <c r="E403" t="s">
        <v>297</v>
      </c>
    </row>
    <row r="404" spans="1:5" x14ac:dyDescent="0.35">
      <c r="A404" t="s">
        <v>579</v>
      </c>
      <c r="B404" t="s">
        <v>1123</v>
      </c>
      <c r="C404">
        <v>5</v>
      </c>
      <c r="D404">
        <v>742</v>
      </c>
      <c r="E404" t="s">
        <v>1124</v>
      </c>
    </row>
    <row r="405" spans="1:5" x14ac:dyDescent="0.35">
      <c r="A405" t="s">
        <v>582</v>
      </c>
      <c r="B405" t="s">
        <v>1125</v>
      </c>
      <c r="C405">
        <v>6</v>
      </c>
      <c r="D405">
        <v>743</v>
      </c>
      <c r="E405" t="s">
        <v>1126</v>
      </c>
    </row>
    <row r="406" spans="1:5" x14ac:dyDescent="0.35">
      <c r="A406" t="s">
        <v>582</v>
      </c>
      <c r="B406" t="s">
        <v>1127</v>
      </c>
      <c r="C406">
        <v>6</v>
      </c>
      <c r="D406">
        <v>744</v>
      </c>
      <c r="E406" t="s">
        <v>1128</v>
      </c>
    </row>
    <row r="407" spans="1:5" x14ac:dyDescent="0.35">
      <c r="A407" t="s">
        <v>582</v>
      </c>
      <c r="B407" t="s">
        <v>1129</v>
      </c>
      <c r="C407">
        <v>6</v>
      </c>
      <c r="D407">
        <v>2293</v>
      </c>
      <c r="E407" t="s">
        <v>1080</v>
      </c>
    </row>
    <row r="408" spans="1:5" x14ac:dyDescent="0.35">
      <c r="A408" t="s">
        <v>579</v>
      </c>
      <c r="B408" t="s">
        <v>299</v>
      </c>
      <c r="C408">
        <v>5</v>
      </c>
      <c r="D408">
        <v>79</v>
      </c>
      <c r="E408" t="s">
        <v>1130</v>
      </c>
    </row>
    <row r="409" spans="1:5" x14ac:dyDescent="0.35">
      <c r="A409" t="s">
        <v>582</v>
      </c>
      <c r="B409" t="s">
        <v>302</v>
      </c>
      <c r="C409">
        <v>6</v>
      </c>
      <c r="D409">
        <v>745</v>
      </c>
      <c r="E409" t="s">
        <v>303</v>
      </c>
    </row>
    <row r="410" spans="1:5" x14ac:dyDescent="0.35">
      <c r="A410" t="s">
        <v>582</v>
      </c>
      <c r="B410" t="s">
        <v>305</v>
      </c>
      <c r="C410">
        <v>6</v>
      </c>
      <c r="D410">
        <v>746</v>
      </c>
      <c r="E410" t="s">
        <v>1131</v>
      </c>
    </row>
    <row r="411" spans="1:5" x14ac:dyDescent="0.35">
      <c r="A411" t="s">
        <v>582</v>
      </c>
      <c r="B411" t="s">
        <v>308</v>
      </c>
      <c r="C411">
        <v>6</v>
      </c>
      <c r="D411">
        <v>747</v>
      </c>
      <c r="E411" t="s">
        <v>1132</v>
      </c>
    </row>
    <row r="412" spans="1:5" x14ac:dyDescent="0.35">
      <c r="A412" t="s">
        <v>582</v>
      </c>
      <c r="B412" t="s">
        <v>311</v>
      </c>
      <c r="C412">
        <v>6</v>
      </c>
      <c r="D412">
        <v>748</v>
      </c>
      <c r="E412" t="s">
        <v>1133</v>
      </c>
    </row>
    <row r="413" spans="1:5" x14ac:dyDescent="0.35">
      <c r="A413" t="s">
        <v>582</v>
      </c>
      <c r="B413" t="s">
        <v>1134</v>
      </c>
      <c r="C413">
        <v>6</v>
      </c>
      <c r="D413">
        <v>749</v>
      </c>
      <c r="E413" t="s">
        <v>1135</v>
      </c>
    </row>
    <row r="414" spans="1:5" x14ac:dyDescent="0.35">
      <c r="A414" t="s">
        <v>582</v>
      </c>
      <c r="B414" t="s">
        <v>314</v>
      </c>
      <c r="C414">
        <v>6</v>
      </c>
      <c r="D414">
        <v>750</v>
      </c>
      <c r="E414" t="s">
        <v>1136</v>
      </c>
    </row>
    <row r="415" spans="1:5" x14ac:dyDescent="0.35">
      <c r="A415" t="s">
        <v>582</v>
      </c>
      <c r="B415" t="s">
        <v>1137</v>
      </c>
      <c r="C415">
        <v>6</v>
      </c>
      <c r="D415">
        <v>751</v>
      </c>
      <c r="E415" t="s">
        <v>1138</v>
      </c>
    </row>
    <row r="416" spans="1:5" x14ac:dyDescent="0.35">
      <c r="A416" t="s">
        <v>582</v>
      </c>
      <c r="B416" t="s">
        <v>316</v>
      </c>
      <c r="C416">
        <v>6</v>
      </c>
      <c r="D416">
        <v>752</v>
      </c>
      <c r="E416" t="s">
        <v>317</v>
      </c>
    </row>
    <row r="417" spans="1:5" x14ac:dyDescent="0.35">
      <c r="A417" t="s">
        <v>582</v>
      </c>
      <c r="B417" t="s">
        <v>1139</v>
      </c>
      <c r="C417">
        <v>6</v>
      </c>
      <c r="D417">
        <v>753</v>
      </c>
      <c r="E417" t="s">
        <v>1140</v>
      </c>
    </row>
    <row r="418" spans="1:5" x14ac:dyDescent="0.35">
      <c r="A418" t="s">
        <v>579</v>
      </c>
      <c r="B418" t="s">
        <v>1141</v>
      </c>
      <c r="C418">
        <v>5</v>
      </c>
      <c r="D418">
        <v>2244</v>
      </c>
      <c r="E418" t="s">
        <v>1142</v>
      </c>
    </row>
    <row r="419" spans="1:5" x14ac:dyDescent="0.35">
      <c r="A419" t="s">
        <v>582</v>
      </c>
      <c r="B419" t="s">
        <v>1143</v>
      </c>
      <c r="C419">
        <v>6</v>
      </c>
      <c r="D419">
        <v>2245</v>
      </c>
      <c r="E419" t="s">
        <v>1144</v>
      </c>
    </row>
    <row r="420" spans="1:5" x14ac:dyDescent="0.35">
      <c r="A420" t="s">
        <v>582</v>
      </c>
      <c r="B420" t="s">
        <v>1145</v>
      </c>
      <c r="C420">
        <v>6</v>
      </c>
      <c r="D420">
        <v>2246</v>
      </c>
      <c r="E420" t="s">
        <v>1055</v>
      </c>
    </row>
    <row r="421" spans="1:5" x14ac:dyDescent="0.35">
      <c r="A421" t="s">
        <v>582</v>
      </c>
      <c r="B421" t="s">
        <v>1146</v>
      </c>
      <c r="C421">
        <v>6</v>
      </c>
      <c r="D421">
        <v>2247</v>
      </c>
      <c r="E421" t="s">
        <v>1147</v>
      </c>
    </row>
    <row r="422" spans="1:5" x14ac:dyDescent="0.35">
      <c r="A422" t="s">
        <v>582</v>
      </c>
      <c r="B422" t="s">
        <v>1148</v>
      </c>
      <c r="C422">
        <v>6</v>
      </c>
      <c r="D422">
        <v>2248</v>
      </c>
      <c r="E422" t="s">
        <v>338</v>
      </c>
    </row>
    <row r="423" spans="1:5" x14ac:dyDescent="0.35">
      <c r="A423" t="s">
        <v>582</v>
      </c>
      <c r="B423" t="s">
        <v>1149</v>
      </c>
      <c r="C423">
        <v>6</v>
      </c>
      <c r="D423">
        <v>2249</v>
      </c>
      <c r="E423" t="s">
        <v>1059</v>
      </c>
    </row>
    <row r="424" spans="1:5" x14ac:dyDescent="0.35">
      <c r="A424" t="s">
        <v>582</v>
      </c>
      <c r="B424" t="s">
        <v>1150</v>
      </c>
      <c r="C424">
        <v>6</v>
      </c>
      <c r="D424">
        <v>2250</v>
      </c>
      <c r="E424" t="s">
        <v>1060</v>
      </c>
    </row>
    <row r="425" spans="1:5" x14ac:dyDescent="0.35">
      <c r="A425" t="s">
        <v>582</v>
      </c>
      <c r="B425" t="s">
        <v>1151</v>
      </c>
      <c r="C425">
        <v>6</v>
      </c>
      <c r="D425">
        <v>2251</v>
      </c>
      <c r="E425" t="s">
        <v>1064</v>
      </c>
    </row>
    <row r="426" spans="1:5" x14ac:dyDescent="0.35">
      <c r="A426" t="s">
        <v>582</v>
      </c>
      <c r="B426" t="s">
        <v>1152</v>
      </c>
      <c r="C426">
        <v>6</v>
      </c>
      <c r="D426">
        <v>2298</v>
      </c>
      <c r="E426" t="s">
        <v>1049</v>
      </c>
    </row>
    <row r="427" spans="1:5" x14ac:dyDescent="0.35">
      <c r="A427" t="s">
        <v>579</v>
      </c>
      <c r="B427" t="s">
        <v>319</v>
      </c>
      <c r="C427">
        <v>4</v>
      </c>
      <c r="D427">
        <v>754</v>
      </c>
      <c r="E427" t="s">
        <v>320</v>
      </c>
    </row>
    <row r="428" spans="1:5" x14ac:dyDescent="0.35">
      <c r="A428" t="s">
        <v>579</v>
      </c>
      <c r="B428" t="s">
        <v>1153</v>
      </c>
      <c r="C428">
        <v>5</v>
      </c>
      <c r="D428">
        <v>755</v>
      </c>
      <c r="E428" t="s">
        <v>1154</v>
      </c>
    </row>
    <row r="429" spans="1:5" x14ac:dyDescent="0.35">
      <c r="A429" t="s">
        <v>582</v>
      </c>
      <c r="B429" t="s">
        <v>1155</v>
      </c>
      <c r="C429">
        <v>6</v>
      </c>
      <c r="D429">
        <v>756</v>
      </c>
      <c r="E429" t="s">
        <v>1156</v>
      </c>
    </row>
    <row r="430" spans="1:5" x14ac:dyDescent="0.35">
      <c r="A430" t="s">
        <v>582</v>
      </c>
      <c r="B430" t="s">
        <v>1157</v>
      </c>
      <c r="C430">
        <v>6</v>
      </c>
      <c r="D430">
        <v>757</v>
      </c>
      <c r="E430" t="s">
        <v>1158</v>
      </c>
    </row>
    <row r="431" spans="1:5" x14ac:dyDescent="0.35">
      <c r="A431" t="s">
        <v>582</v>
      </c>
      <c r="B431" t="s">
        <v>1159</v>
      </c>
      <c r="C431">
        <v>6</v>
      </c>
      <c r="D431">
        <v>758</v>
      </c>
      <c r="E431" t="s">
        <v>1160</v>
      </c>
    </row>
    <row r="432" spans="1:5" x14ac:dyDescent="0.35">
      <c r="A432" t="s">
        <v>582</v>
      </c>
      <c r="B432" t="s">
        <v>1161</v>
      </c>
      <c r="C432">
        <v>6</v>
      </c>
      <c r="D432">
        <v>2228</v>
      </c>
      <c r="E432" t="s">
        <v>1162</v>
      </c>
    </row>
    <row r="433" spans="1:5" x14ac:dyDescent="0.35">
      <c r="A433" t="s">
        <v>579</v>
      </c>
      <c r="B433" t="s">
        <v>1163</v>
      </c>
      <c r="C433">
        <v>5</v>
      </c>
      <c r="D433">
        <v>759</v>
      </c>
      <c r="E433" t="s">
        <v>1164</v>
      </c>
    </row>
    <row r="434" spans="1:5" x14ac:dyDescent="0.35">
      <c r="A434" t="s">
        <v>582</v>
      </c>
      <c r="B434" t="s">
        <v>1165</v>
      </c>
      <c r="C434">
        <v>6</v>
      </c>
      <c r="D434">
        <v>760</v>
      </c>
      <c r="E434" t="s">
        <v>1166</v>
      </c>
    </row>
    <row r="435" spans="1:5" x14ac:dyDescent="0.35">
      <c r="A435" t="s">
        <v>579</v>
      </c>
      <c r="B435" t="s">
        <v>321</v>
      </c>
      <c r="C435">
        <v>5</v>
      </c>
      <c r="D435">
        <v>92</v>
      </c>
      <c r="E435" t="s">
        <v>322</v>
      </c>
    </row>
    <row r="436" spans="1:5" x14ac:dyDescent="0.35">
      <c r="A436" t="s">
        <v>582</v>
      </c>
      <c r="B436" t="s">
        <v>1167</v>
      </c>
      <c r="C436">
        <v>6</v>
      </c>
      <c r="D436">
        <v>761</v>
      </c>
      <c r="E436" t="s">
        <v>1168</v>
      </c>
    </row>
    <row r="437" spans="1:5" x14ac:dyDescent="0.35">
      <c r="A437" t="s">
        <v>582</v>
      </c>
      <c r="B437" t="s">
        <v>324</v>
      </c>
      <c r="C437">
        <v>6</v>
      </c>
      <c r="D437">
        <v>762</v>
      </c>
      <c r="E437" t="s">
        <v>325</v>
      </c>
    </row>
    <row r="438" spans="1:5" x14ac:dyDescent="0.35">
      <c r="A438" t="s">
        <v>582</v>
      </c>
      <c r="B438" t="s">
        <v>1169</v>
      </c>
      <c r="C438">
        <v>6</v>
      </c>
      <c r="D438">
        <v>2294</v>
      </c>
      <c r="E438" t="s">
        <v>1170</v>
      </c>
    </row>
    <row r="439" spans="1:5" x14ac:dyDescent="0.35">
      <c r="A439" t="s">
        <v>579</v>
      </c>
      <c r="B439" t="s">
        <v>327</v>
      </c>
      <c r="C439">
        <v>5</v>
      </c>
      <c r="D439">
        <v>96</v>
      </c>
      <c r="E439" t="s">
        <v>1171</v>
      </c>
    </row>
    <row r="440" spans="1:5" x14ac:dyDescent="0.35">
      <c r="A440" t="s">
        <v>582</v>
      </c>
      <c r="B440" t="s">
        <v>330</v>
      </c>
      <c r="C440">
        <v>6</v>
      </c>
      <c r="D440">
        <v>763</v>
      </c>
      <c r="E440" t="s">
        <v>1172</v>
      </c>
    </row>
    <row r="441" spans="1:5" x14ac:dyDescent="0.35">
      <c r="A441" t="s">
        <v>579</v>
      </c>
      <c r="B441" t="s">
        <v>333</v>
      </c>
      <c r="C441">
        <v>4</v>
      </c>
      <c r="D441">
        <v>2252</v>
      </c>
      <c r="E441" t="s">
        <v>1173</v>
      </c>
    </row>
    <row r="442" spans="1:5" x14ac:dyDescent="0.35">
      <c r="A442" t="s">
        <v>579</v>
      </c>
      <c r="B442" t="s">
        <v>335</v>
      </c>
      <c r="C442">
        <v>5</v>
      </c>
      <c r="D442">
        <v>2253</v>
      </c>
      <c r="E442" t="s">
        <v>1174</v>
      </c>
    </row>
    <row r="443" spans="1:5" x14ac:dyDescent="0.35">
      <c r="A443" t="s">
        <v>582</v>
      </c>
      <c r="B443" t="s">
        <v>1175</v>
      </c>
      <c r="C443">
        <v>6</v>
      </c>
      <c r="D443">
        <v>2254</v>
      </c>
      <c r="E443" t="s">
        <v>1049</v>
      </c>
    </row>
    <row r="444" spans="1:5" x14ac:dyDescent="0.35">
      <c r="A444" t="s">
        <v>582</v>
      </c>
      <c r="B444" t="s">
        <v>1176</v>
      </c>
      <c r="C444">
        <v>6</v>
      </c>
      <c r="D444">
        <v>2255</v>
      </c>
      <c r="E444" t="s">
        <v>1053</v>
      </c>
    </row>
    <row r="445" spans="1:5" x14ac:dyDescent="0.35">
      <c r="A445" t="s">
        <v>582</v>
      </c>
      <c r="B445" t="s">
        <v>1177</v>
      </c>
      <c r="C445">
        <v>6</v>
      </c>
      <c r="D445">
        <v>2256</v>
      </c>
      <c r="E445" t="s">
        <v>1055</v>
      </c>
    </row>
    <row r="446" spans="1:5" x14ac:dyDescent="0.35">
      <c r="A446" t="s">
        <v>582</v>
      </c>
      <c r="B446" t="s">
        <v>1178</v>
      </c>
      <c r="C446">
        <v>6</v>
      </c>
      <c r="D446">
        <v>2257</v>
      </c>
      <c r="E446" t="s">
        <v>289</v>
      </c>
    </row>
    <row r="447" spans="1:5" x14ac:dyDescent="0.35">
      <c r="A447" t="s">
        <v>582</v>
      </c>
      <c r="B447" t="s">
        <v>337</v>
      </c>
      <c r="C447">
        <v>6</v>
      </c>
      <c r="D447">
        <v>2258</v>
      </c>
      <c r="E447" t="s">
        <v>338</v>
      </c>
    </row>
    <row r="448" spans="1:5" x14ac:dyDescent="0.35">
      <c r="A448" t="s">
        <v>582</v>
      </c>
      <c r="B448" t="s">
        <v>1179</v>
      </c>
      <c r="C448">
        <v>6</v>
      </c>
      <c r="D448">
        <v>2259</v>
      </c>
      <c r="E448" t="s">
        <v>1059</v>
      </c>
    </row>
    <row r="449" spans="1:5" x14ac:dyDescent="0.35">
      <c r="A449" t="s">
        <v>582</v>
      </c>
      <c r="B449" t="s">
        <v>1180</v>
      </c>
      <c r="C449">
        <v>6</v>
      </c>
      <c r="D449">
        <v>2260</v>
      </c>
      <c r="E449" t="s">
        <v>1060</v>
      </c>
    </row>
    <row r="450" spans="1:5" x14ac:dyDescent="0.35">
      <c r="A450" t="s">
        <v>582</v>
      </c>
      <c r="B450" t="s">
        <v>1181</v>
      </c>
      <c r="C450">
        <v>6</v>
      </c>
      <c r="D450">
        <v>2261</v>
      </c>
      <c r="E450" t="s">
        <v>1076</v>
      </c>
    </row>
    <row r="451" spans="1:5" x14ac:dyDescent="0.35">
      <c r="A451" t="s">
        <v>582</v>
      </c>
      <c r="B451" t="s">
        <v>1182</v>
      </c>
      <c r="C451">
        <v>6</v>
      </c>
      <c r="D451">
        <v>2262</v>
      </c>
      <c r="E451" t="s">
        <v>1183</v>
      </c>
    </row>
    <row r="452" spans="1:5" x14ac:dyDescent="0.35">
      <c r="A452" t="s">
        <v>582</v>
      </c>
      <c r="B452" t="s">
        <v>1184</v>
      </c>
      <c r="C452">
        <v>6</v>
      </c>
      <c r="D452">
        <v>2263</v>
      </c>
      <c r="E452" t="s">
        <v>1185</v>
      </c>
    </row>
    <row r="453" spans="1:5" x14ac:dyDescent="0.35">
      <c r="A453" t="s">
        <v>582</v>
      </c>
      <c r="B453" t="s">
        <v>1186</v>
      </c>
      <c r="C453">
        <v>6</v>
      </c>
      <c r="D453">
        <v>2264</v>
      </c>
      <c r="E453" t="s">
        <v>1187</v>
      </c>
    </row>
    <row r="454" spans="1:5" x14ac:dyDescent="0.35">
      <c r="A454" t="s">
        <v>582</v>
      </c>
      <c r="B454" t="s">
        <v>1188</v>
      </c>
      <c r="C454">
        <v>6</v>
      </c>
      <c r="D454">
        <v>2295</v>
      </c>
      <c r="E454" t="s">
        <v>1189</v>
      </c>
    </row>
    <row r="455" spans="1:5" x14ac:dyDescent="0.35">
      <c r="A455" t="s">
        <v>579</v>
      </c>
      <c r="B455" t="s">
        <v>339</v>
      </c>
      <c r="C455">
        <v>5</v>
      </c>
      <c r="D455">
        <v>2265</v>
      </c>
      <c r="E455" t="s">
        <v>1190</v>
      </c>
    </row>
    <row r="456" spans="1:5" x14ac:dyDescent="0.35">
      <c r="A456" t="s">
        <v>582</v>
      </c>
      <c r="B456" t="s">
        <v>1191</v>
      </c>
      <c r="C456">
        <v>6</v>
      </c>
      <c r="D456">
        <v>2266</v>
      </c>
      <c r="E456" t="s">
        <v>1192</v>
      </c>
    </row>
    <row r="457" spans="1:5" x14ac:dyDescent="0.35">
      <c r="A457" t="s">
        <v>582</v>
      </c>
      <c r="B457" t="s">
        <v>1193</v>
      </c>
      <c r="C457">
        <v>6</v>
      </c>
      <c r="D457">
        <v>2267</v>
      </c>
      <c r="E457" t="s">
        <v>1194</v>
      </c>
    </row>
    <row r="458" spans="1:5" x14ac:dyDescent="0.35">
      <c r="A458" t="s">
        <v>582</v>
      </c>
      <c r="B458" t="s">
        <v>1195</v>
      </c>
      <c r="C458">
        <v>6</v>
      </c>
      <c r="D458">
        <v>2268</v>
      </c>
      <c r="E458" t="s">
        <v>1196</v>
      </c>
    </row>
    <row r="459" spans="1:5" x14ac:dyDescent="0.35">
      <c r="A459" t="s">
        <v>582</v>
      </c>
      <c r="B459" t="s">
        <v>1197</v>
      </c>
      <c r="C459">
        <v>6</v>
      </c>
      <c r="D459">
        <v>2269</v>
      </c>
      <c r="E459" t="s">
        <v>1198</v>
      </c>
    </row>
    <row r="460" spans="1:5" x14ac:dyDescent="0.35">
      <c r="A460" t="s">
        <v>582</v>
      </c>
      <c r="B460" t="s">
        <v>341</v>
      </c>
      <c r="C460">
        <v>6</v>
      </c>
      <c r="D460">
        <v>2270</v>
      </c>
      <c r="E460" t="s">
        <v>342</v>
      </c>
    </row>
    <row r="461" spans="1:5" x14ac:dyDescent="0.35">
      <c r="A461" t="s">
        <v>582</v>
      </c>
      <c r="B461" t="s">
        <v>1199</v>
      </c>
      <c r="C461">
        <v>6</v>
      </c>
      <c r="D461">
        <v>2271</v>
      </c>
      <c r="E461" t="s">
        <v>1200</v>
      </c>
    </row>
    <row r="462" spans="1:5" x14ac:dyDescent="0.35">
      <c r="A462" t="s">
        <v>582</v>
      </c>
      <c r="B462" t="s">
        <v>1201</v>
      </c>
      <c r="C462">
        <v>6</v>
      </c>
      <c r="D462">
        <v>2272</v>
      </c>
      <c r="E462" t="s">
        <v>1202</v>
      </c>
    </row>
    <row r="463" spans="1:5" x14ac:dyDescent="0.35">
      <c r="A463" t="s">
        <v>582</v>
      </c>
      <c r="B463" t="s">
        <v>1203</v>
      </c>
      <c r="C463">
        <v>6</v>
      </c>
      <c r="D463">
        <v>2273</v>
      </c>
      <c r="E463" t="s">
        <v>1204</v>
      </c>
    </row>
    <row r="464" spans="1:5" x14ac:dyDescent="0.35">
      <c r="A464" t="s">
        <v>582</v>
      </c>
      <c r="B464" t="s">
        <v>1205</v>
      </c>
      <c r="C464">
        <v>6</v>
      </c>
      <c r="D464">
        <v>2274</v>
      </c>
      <c r="E464" t="s">
        <v>1206</v>
      </c>
    </row>
    <row r="465" spans="1:5" x14ac:dyDescent="0.35">
      <c r="A465" t="s">
        <v>579</v>
      </c>
      <c r="B465" t="s">
        <v>1207</v>
      </c>
      <c r="C465">
        <v>3</v>
      </c>
      <c r="D465">
        <v>764</v>
      </c>
      <c r="E465" t="s">
        <v>1208</v>
      </c>
    </row>
    <row r="466" spans="1:5" x14ac:dyDescent="0.35">
      <c r="A466" t="s">
        <v>579</v>
      </c>
      <c r="B466" t="s">
        <v>1209</v>
      </c>
      <c r="C466">
        <v>4</v>
      </c>
      <c r="D466">
        <v>765</v>
      </c>
      <c r="E466" t="s">
        <v>1210</v>
      </c>
    </row>
    <row r="467" spans="1:5" x14ac:dyDescent="0.35">
      <c r="A467" t="s">
        <v>579</v>
      </c>
      <c r="B467" t="s">
        <v>1211</v>
      </c>
      <c r="C467">
        <v>5</v>
      </c>
      <c r="D467">
        <v>766</v>
      </c>
      <c r="E467" t="s">
        <v>993</v>
      </c>
    </row>
    <row r="468" spans="1:5" x14ac:dyDescent="0.35">
      <c r="A468" t="s">
        <v>582</v>
      </c>
      <c r="B468" t="s">
        <v>1212</v>
      </c>
      <c r="C468">
        <v>6</v>
      </c>
      <c r="D468">
        <v>767</v>
      </c>
      <c r="E468" t="s">
        <v>993</v>
      </c>
    </row>
    <row r="469" spans="1:5" x14ac:dyDescent="0.35">
      <c r="A469" t="s">
        <v>582</v>
      </c>
      <c r="B469" t="s">
        <v>1213</v>
      </c>
      <c r="C469">
        <v>6</v>
      </c>
      <c r="D469">
        <v>768</v>
      </c>
      <c r="E469" t="s">
        <v>996</v>
      </c>
    </row>
    <row r="470" spans="1:5" x14ac:dyDescent="0.35">
      <c r="A470" t="s">
        <v>582</v>
      </c>
      <c r="B470" t="s">
        <v>1214</v>
      </c>
      <c r="C470">
        <v>6</v>
      </c>
      <c r="D470">
        <v>769</v>
      </c>
      <c r="E470" t="s">
        <v>998</v>
      </c>
    </row>
    <row r="471" spans="1:5" x14ac:dyDescent="0.35">
      <c r="A471" t="s">
        <v>582</v>
      </c>
      <c r="B471" t="s">
        <v>1215</v>
      </c>
      <c r="C471">
        <v>6</v>
      </c>
      <c r="D471">
        <v>770</v>
      </c>
      <c r="E471" t="s">
        <v>1000</v>
      </c>
    </row>
    <row r="472" spans="1:5" x14ac:dyDescent="0.35">
      <c r="A472" t="s">
        <v>579</v>
      </c>
      <c r="B472" t="s">
        <v>1216</v>
      </c>
      <c r="C472">
        <v>5</v>
      </c>
      <c r="D472">
        <v>771</v>
      </c>
      <c r="E472" t="s">
        <v>1002</v>
      </c>
    </row>
    <row r="473" spans="1:5" x14ac:dyDescent="0.35">
      <c r="A473" t="s">
        <v>582</v>
      </c>
      <c r="B473" t="s">
        <v>1217</v>
      </c>
      <c r="C473">
        <v>6</v>
      </c>
      <c r="D473">
        <v>772</v>
      </c>
      <c r="E473" t="s">
        <v>1002</v>
      </c>
    </row>
    <row r="474" spans="1:5" x14ac:dyDescent="0.35">
      <c r="A474" t="s">
        <v>579</v>
      </c>
      <c r="B474" t="s">
        <v>1218</v>
      </c>
      <c r="C474">
        <v>5</v>
      </c>
      <c r="D474">
        <v>773</v>
      </c>
      <c r="E474" t="s">
        <v>1005</v>
      </c>
    </row>
    <row r="475" spans="1:5" x14ac:dyDescent="0.35">
      <c r="A475" t="s">
        <v>582</v>
      </c>
      <c r="B475" t="s">
        <v>1219</v>
      </c>
      <c r="C475">
        <v>6</v>
      </c>
      <c r="D475">
        <v>774</v>
      </c>
      <c r="E475" t="s">
        <v>1007</v>
      </c>
    </row>
    <row r="476" spans="1:5" x14ac:dyDescent="0.35">
      <c r="A476" t="s">
        <v>582</v>
      </c>
      <c r="B476" t="s">
        <v>1220</v>
      </c>
      <c r="C476">
        <v>6</v>
      </c>
      <c r="D476">
        <v>775</v>
      </c>
      <c r="E476" t="s">
        <v>1009</v>
      </c>
    </row>
    <row r="477" spans="1:5" x14ac:dyDescent="0.35">
      <c r="A477" t="s">
        <v>582</v>
      </c>
      <c r="B477" t="s">
        <v>1221</v>
      </c>
      <c r="C477">
        <v>6</v>
      </c>
      <c r="D477">
        <v>776</v>
      </c>
      <c r="E477" t="s">
        <v>1011</v>
      </c>
    </row>
    <row r="478" spans="1:5" x14ac:dyDescent="0.35">
      <c r="A478" t="s">
        <v>582</v>
      </c>
      <c r="B478" t="s">
        <v>1222</v>
      </c>
      <c r="C478">
        <v>6</v>
      </c>
      <c r="D478">
        <v>777</v>
      </c>
      <c r="E478" t="s">
        <v>1013</v>
      </c>
    </row>
    <row r="479" spans="1:5" x14ac:dyDescent="0.35">
      <c r="A479" t="s">
        <v>582</v>
      </c>
      <c r="B479" t="s">
        <v>1223</v>
      </c>
      <c r="C479">
        <v>6</v>
      </c>
      <c r="D479">
        <v>1869</v>
      </c>
      <c r="E479" t="s">
        <v>738</v>
      </c>
    </row>
    <row r="480" spans="1:5" x14ac:dyDescent="0.35">
      <c r="A480" t="s">
        <v>579</v>
      </c>
      <c r="B480" t="s">
        <v>1224</v>
      </c>
      <c r="C480">
        <v>5</v>
      </c>
      <c r="D480">
        <v>778</v>
      </c>
      <c r="E480" t="s">
        <v>1018</v>
      </c>
    </row>
    <row r="481" spans="1:5" x14ac:dyDescent="0.35">
      <c r="A481" t="s">
        <v>582</v>
      </c>
      <c r="B481" t="s">
        <v>1225</v>
      </c>
      <c r="C481">
        <v>6</v>
      </c>
      <c r="D481">
        <v>779</v>
      </c>
      <c r="E481" t="s">
        <v>592</v>
      </c>
    </row>
    <row r="482" spans="1:5" x14ac:dyDescent="0.35">
      <c r="A482" t="s">
        <v>582</v>
      </c>
      <c r="B482" t="s">
        <v>1226</v>
      </c>
      <c r="C482">
        <v>6</v>
      </c>
      <c r="D482">
        <v>780</v>
      </c>
      <c r="E482" t="s">
        <v>616</v>
      </c>
    </row>
    <row r="483" spans="1:5" x14ac:dyDescent="0.35">
      <c r="A483" t="s">
        <v>582</v>
      </c>
      <c r="B483" t="s">
        <v>1227</v>
      </c>
      <c r="C483">
        <v>6</v>
      </c>
      <c r="D483">
        <v>781</v>
      </c>
      <c r="E483" t="s">
        <v>612</v>
      </c>
    </row>
    <row r="484" spans="1:5" x14ac:dyDescent="0.35">
      <c r="A484" t="s">
        <v>579</v>
      </c>
      <c r="B484" t="s">
        <v>1228</v>
      </c>
      <c r="C484">
        <v>5</v>
      </c>
      <c r="D484">
        <v>2003</v>
      </c>
      <c r="E484" t="s">
        <v>1229</v>
      </c>
    </row>
    <row r="485" spans="1:5" x14ac:dyDescent="0.35">
      <c r="A485" t="s">
        <v>582</v>
      </c>
      <c r="B485" t="s">
        <v>1230</v>
      </c>
      <c r="C485">
        <v>6</v>
      </c>
      <c r="D485">
        <v>2004</v>
      </c>
      <c r="E485" t="s">
        <v>1231</v>
      </c>
    </row>
    <row r="486" spans="1:5" x14ac:dyDescent="0.35">
      <c r="A486" t="s">
        <v>582</v>
      </c>
      <c r="B486" t="s">
        <v>1232</v>
      </c>
      <c r="C486">
        <v>5</v>
      </c>
      <c r="D486">
        <v>1955</v>
      </c>
      <c r="E486" t="s">
        <v>1037</v>
      </c>
    </row>
    <row r="487" spans="1:5" x14ac:dyDescent="0.35">
      <c r="A487" t="s">
        <v>582</v>
      </c>
      <c r="B487" t="s">
        <v>1233</v>
      </c>
      <c r="C487">
        <v>6</v>
      </c>
      <c r="D487">
        <v>1956</v>
      </c>
      <c r="E487" t="s">
        <v>1039</v>
      </c>
    </row>
    <row r="488" spans="1:5" x14ac:dyDescent="0.35">
      <c r="A488" t="s">
        <v>579</v>
      </c>
      <c r="B488" t="s">
        <v>1234</v>
      </c>
      <c r="C488">
        <v>4</v>
      </c>
      <c r="D488">
        <v>782</v>
      </c>
      <c r="E488" t="s">
        <v>1235</v>
      </c>
    </row>
    <row r="489" spans="1:5" x14ac:dyDescent="0.35">
      <c r="A489" t="s">
        <v>579</v>
      </c>
      <c r="B489" t="s">
        <v>1236</v>
      </c>
      <c r="C489">
        <v>5</v>
      </c>
      <c r="D489">
        <v>783</v>
      </c>
      <c r="E489" t="s">
        <v>1043</v>
      </c>
    </row>
    <row r="490" spans="1:5" x14ac:dyDescent="0.35">
      <c r="A490" t="s">
        <v>582</v>
      </c>
      <c r="B490" t="s">
        <v>1237</v>
      </c>
      <c r="C490">
        <v>6</v>
      </c>
      <c r="D490">
        <v>784</v>
      </c>
      <c r="E490" t="s">
        <v>1045</v>
      </c>
    </row>
    <row r="491" spans="1:5" x14ac:dyDescent="0.35">
      <c r="A491" t="s">
        <v>579</v>
      </c>
      <c r="B491" t="s">
        <v>1238</v>
      </c>
      <c r="C491">
        <v>4</v>
      </c>
      <c r="D491">
        <v>785</v>
      </c>
      <c r="E491" t="s">
        <v>1239</v>
      </c>
    </row>
    <row r="492" spans="1:5" x14ac:dyDescent="0.35">
      <c r="A492" t="s">
        <v>579</v>
      </c>
      <c r="B492" t="s">
        <v>1240</v>
      </c>
      <c r="C492">
        <v>5</v>
      </c>
      <c r="D492">
        <v>786</v>
      </c>
      <c r="E492" t="s">
        <v>84</v>
      </c>
    </row>
    <row r="493" spans="1:5" x14ac:dyDescent="0.35">
      <c r="A493" t="s">
        <v>582</v>
      </c>
      <c r="B493" t="s">
        <v>1241</v>
      </c>
      <c r="C493">
        <v>6</v>
      </c>
      <c r="D493">
        <v>787</v>
      </c>
      <c r="E493" t="s">
        <v>1047</v>
      </c>
    </row>
    <row r="494" spans="1:5" x14ac:dyDescent="0.35">
      <c r="A494" t="s">
        <v>582</v>
      </c>
      <c r="B494" t="s">
        <v>1242</v>
      </c>
      <c r="C494">
        <v>6</v>
      </c>
      <c r="D494">
        <v>788</v>
      </c>
      <c r="E494" t="s">
        <v>1049</v>
      </c>
    </row>
    <row r="495" spans="1:5" x14ac:dyDescent="0.35">
      <c r="A495" t="s">
        <v>582</v>
      </c>
      <c r="B495" t="s">
        <v>1243</v>
      </c>
      <c r="C495">
        <v>6</v>
      </c>
      <c r="D495">
        <v>789</v>
      </c>
      <c r="E495" t="s">
        <v>1051</v>
      </c>
    </row>
    <row r="496" spans="1:5" x14ac:dyDescent="0.35">
      <c r="A496" t="s">
        <v>582</v>
      </c>
      <c r="B496" t="s">
        <v>1244</v>
      </c>
      <c r="C496">
        <v>6</v>
      </c>
      <c r="D496">
        <v>790</v>
      </c>
      <c r="E496" t="s">
        <v>1053</v>
      </c>
    </row>
    <row r="497" spans="1:5" x14ac:dyDescent="0.35">
      <c r="A497" t="s">
        <v>582</v>
      </c>
      <c r="B497" t="s">
        <v>1245</v>
      </c>
      <c r="C497">
        <v>6</v>
      </c>
      <c r="D497">
        <v>791</v>
      </c>
      <c r="E497" t="s">
        <v>338</v>
      </c>
    </row>
    <row r="498" spans="1:5" x14ac:dyDescent="0.35">
      <c r="A498" t="s">
        <v>582</v>
      </c>
      <c r="B498" t="s">
        <v>1246</v>
      </c>
      <c r="C498">
        <v>6</v>
      </c>
      <c r="D498">
        <v>792</v>
      </c>
      <c r="E498" t="s">
        <v>1059</v>
      </c>
    </row>
    <row r="499" spans="1:5" x14ac:dyDescent="0.35">
      <c r="A499" t="s">
        <v>582</v>
      </c>
      <c r="B499" t="s">
        <v>1247</v>
      </c>
      <c r="C499">
        <v>6</v>
      </c>
      <c r="D499">
        <v>793</v>
      </c>
      <c r="E499" t="s">
        <v>1060</v>
      </c>
    </row>
    <row r="500" spans="1:5" x14ac:dyDescent="0.35">
      <c r="A500" t="s">
        <v>582</v>
      </c>
      <c r="B500" t="s">
        <v>1248</v>
      </c>
      <c r="C500">
        <v>6</v>
      </c>
      <c r="D500">
        <v>794</v>
      </c>
      <c r="E500" t="s">
        <v>1062</v>
      </c>
    </row>
    <row r="501" spans="1:5" x14ac:dyDescent="0.35">
      <c r="A501" t="s">
        <v>582</v>
      </c>
      <c r="B501" t="s">
        <v>1249</v>
      </c>
      <c r="C501">
        <v>6</v>
      </c>
      <c r="D501">
        <v>795</v>
      </c>
      <c r="E501" t="s">
        <v>1250</v>
      </c>
    </row>
    <row r="502" spans="1:5" x14ac:dyDescent="0.35">
      <c r="A502" t="s">
        <v>582</v>
      </c>
      <c r="B502" t="s">
        <v>1251</v>
      </c>
      <c r="C502">
        <v>6</v>
      </c>
      <c r="D502">
        <v>796</v>
      </c>
      <c r="E502" t="s">
        <v>1066</v>
      </c>
    </row>
    <row r="503" spans="1:5" x14ac:dyDescent="0.35">
      <c r="A503" t="s">
        <v>582</v>
      </c>
      <c r="B503" t="s">
        <v>1252</v>
      </c>
      <c r="C503">
        <v>6</v>
      </c>
      <c r="D503">
        <v>797</v>
      </c>
      <c r="E503" t="s">
        <v>1068</v>
      </c>
    </row>
    <row r="504" spans="1:5" x14ac:dyDescent="0.35">
      <c r="A504" t="s">
        <v>582</v>
      </c>
      <c r="B504" t="s">
        <v>1253</v>
      </c>
      <c r="C504">
        <v>6</v>
      </c>
      <c r="D504">
        <v>798</v>
      </c>
      <c r="E504" t="s">
        <v>1070</v>
      </c>
    </row>
    <row r="505" spans="1:5" x14ac:dyDescent="0.35">
      <c r="A505" t="s">
        <v>582</v>
      </c>
      <c r="B505" t="s">
        <v>1254</v>
      </c>
      <c r="C505">
        <v>6</v>
      </c>
      <c r="D505">
        <v>799</v>
      </c>
      <c r="E505" t="s">
        <v>1072</v>
      </c>
    </row>
    <row r="506" spans="1:5" x14ac:dyDescent="0.35">
      <c r="A506" t="s">
        <v>582</v>
      </c>
      <c r="B506" t="s">
        <v>1255</v>
      </c>
      <c r="C506">
        <v>6</v>
      </c>
      <c r="D506">
        <v>800</v>
      </c>
      <c r="E506" t="s">
        <v>1074</v>
      </c>
    </row>
    <row r="507" spans="1:5" x14ac:dyDescent="0.35">
      <c r="A507" t="s">
        <v>582</v>
      </c>
      <c r="B507" t="s">
        <v>1256</v>
      </c>
      <c r="C507">
        <v>6</v>
      </c>
      <c r="D507">
        <v>801</v>
      </c>
      <c r="E507" t="s">
        <v>1076</v>
      </c>
    </row>
    <row r="508" spans="1:5" x14ac:dyDescent="0.35">
      <c r="A508" t="s">
        <v>582</v>
      </c>
      <c r="B508" t="s">
        <v>1257</v>
      </c>
      <c r="C508">
        <v>6</v>
      </c>
      <c r="D508">
        <v>802</v>
      </c>
      <c r="E508" t="s">
        <v>1078</v>
      </c>
    </row>
    <row r="509" spans="1:5" x14ac:dyDescent="0.35">
      <c r="A509" t="s">
        <v>582</v>
      </c>
      <c r="B509" t="s">
        <v>1258</v>
      </c>
      <c r="C509">
        <v>6</v>
      </c>
      <c r="D509">
        <v>2226</v>
      </c>
      <c r="E509" t="s">
        <v>1080</v>
      </c>
    </row>
    <row r="510" spans="1:5" x14ac:dyDescent="0.35">
      <c r="A510" t="s">
        <v>582</v>
      </c>
      <c r="B510" t="s">
        <v>1259</v>
      </c>
      <c r="C510">
        <v>6</v>
      </c>
      <c r="D510">
        <v>803</v>
      </c>
      <c r="E510" t="s">
        <v>1082</v>
      </c>
    </row>
    <row r="511" spans="1:5" x14ac:dyDescent="0.35">
      <c r="A511" t="s">
        <v>579</v>
      </c>
      <c r="B511" t="s">
        <v>1260</v>
      </c>
      <c r="C511">
        <v>5</v>
      </c>
      <c r="D511">
        <v>804</v>
      </c>
      <c r="E511" t="s">
        <v>1084</v>
      </c>
    </row>
    <row r="512" spans="1:5" x14ac:dyDescent="0.35">
      <c r="A512" t="s">
        <v>582</v>
      </c>
      <c r="B512" t="s">
        <v>1261</v>
      </c>
      <c r="C512">
        <v>6</v>
      </c>
      <c r="D512">
        <v>805</v>
      </c>
      <c r="E512" t="s">
        <v>1086</v>
      </c>
    </row>
    <row r="513" spans="1:5" x14ac:dyDescent="0.35">
      <c r="A513" t="s">
        <v>582</v>
      </c>
      <c r="B513" t="s">
        <v>1262</v>
      </c>
      <c r="C513">
        <v>6</v>
      </c>
      <c r="D513">
        <v>806</v>
      </c>
      <c r="E513" t="s">
        <v>1088</v>
      </c>
    </row>
    <row r="514" spans="1:5" x14ac:dyDescent="0.35">
      <c r="A514" t="s">
        <v>579</v>
      </c>
      <c r="B514" t="s">
        <v>1263</v>
      </c>
      <c r="C514">
        <v>5</v>
      </c>
      <c r="D514">
        <v>807</v>
      </c>
      <c r="E514" t="s">
        <v>276</v>
      </c>
    </row>
    <row r="515" spans="1:5" x14ac:dyDescent="0.35">
      <c r="A515" t="s">
        <v>582</v>
      </c>
      <c r="B515" t="s">
        <v>1264</v>
      </c>
      <c r="C515">
        <v>6</v>
      </c>
      <c r="D515">
        <v>808</v>
      </c>
      <c r="E515" t="s">
        <v>1090</v>
      </c>
    </row>
    <row r="516" spans="1:5" x14ac:dyDescent="0.35">
      <c r="A516" t="s">
        <v>582</v>
      </c>
      <c r="B516" t="s">
        <v>1265</v>
      </c>
      <c r="C516">
        <v>6</v>
      </c>
      <c r="D516">
        <v>809</v>
      </c>
      <c r="E516" t="s">
        <v>1092</v>
      </c>
    </row>
    <row r="517" spans="1:5" x14ac:dyDescent="0.35">
      <c r="A517" t="s">
        <v>582</v>
      </c>
      <c r="B517" t="s">
        <v>1266</v>
      </c>
      <c r="C517">
        <v>6</v>
      </c>
      <c r="D517">
        <v>810</v>
      </c>
      <c r="E517" t="s">
        <v>1094</v>
      </c>
    </row>
    <row r="518" spans="1:5" x14ac:dyDescent="0.35">
      <c r="A518" t="s">
        <v>582</v>
      </c>
      <c r="B518" t="s">
        <v>1267</v>
      </c>
      <c r="C518">
        <v>6</v>
      </c>
      <c r="D518">
        <v>811</v>
      </c>
      <c r="E518" t="s">
        <v>1100</v>
      </c>
    </row>
    <row r="519" spans="1:5" x14ac:dyDescent="0.35">
      <c r="A519" t="s">
        <v>582</v>
      </c>
      <c r="B519" t="s">
        <v>1268</v>
      </c>
      <c r="C519">
        <v>6</v>
      </c>
      <c r="D519">
        <v>812</v>
      </c>
      <c r="E519" t="s">
        <v>1102</v>
      </c>
    </row>
    <row r="520" spans="1:5" x14ac:dyDescent="0.35">
      <c r="A520" t="s">
        <v>582</v>
      </c>
      <c r="B520" t="s">
        <v>1269</v>
      </c>
      <c r="C520">
        <v>6</v>
      </c>
      <c r="D520">
        <v>813</v>
      </c>
      <c r="E520" t="s">
        <v>1103</v>
      </c>
    </row>
    <row r="521" spans="1:5" x14ac:dyDescent="0.35">
      <c r="A521" t="s">
        <v>582</v>
      </c>
      <c r="B521" t="s">
        <v>1270</v>
      </c>
      <c r="C521">
        <v>6</v>
      </c>
      <c r="D521">
        <v>814</v>
      </c>
      <c r="E521" t="s">
        <v>1105</v>
      </c>
    </row>
    <row r="522" spans="1:5" x14ac:dyDescent="0.35">
      <c r="A522" t="s">
        <v>582</v>
      </c>
      <c r="B522" t="s">
        <v>1271</v>
      </c>
      <c r="C522">
        <v>6</v>
      </c>
      <c r="D522">
        <v>815</v>
      </c>
      <c r="E522" t="s">
        <v>1272</v>
      </c>
    </row>
    <row r="523" spans="1:5" x14ac:dyDescent="0.35">
      <c r="A523" t="s">
        <v>582</v>
      </c>
      <c r="B523" t="s">
        <v>1273</v>
      </c>
      <c r="C523">
        <v>6</v>
      </c>
      <c r="D523">
        <v>816</v>
      </c>
      <c r="E523" t="s">
        <v>1109</v>
      </c>
    </row>
    <row r="524" spans="1:5" x14ac:dyDescent="0.35">
      <c r="A524" t="s">
        <v>582</v>
      </c>
      <c r="B524" t="s">
        <v>1274</v>
      </c>
      <c r="C524">
        <v>6</v>
      </c>
      <c r="D524">
        <v>817</v>
      </c>
      <c r="E524" t="s">
        <v>1111</v>
      </c>
    </row>
    <row r="525" spans="1:5" x14ac:dyDescent="0.35">
      <c r="A525" t="s">
        <v>582</v>
      </c>
      <c r="B525" t="s">
        <v>1275</v>
      </c>
      <c r="C525">
        <v>6</v>
      </c>
      <c r="D525">
        <v>818</v>
      </c>
      <c r="E525" t="s">
        <v>1113</v>
      </c>
    </row>
    <row r="526" spans="1:5" x14ac:dyDescent="0.35">
      <c r="A526" t="s">
        <v>579</v>
      </c>
      <c r="B526" t="s">
        <v>1276</v>
      </c>
      <c r="C526">
        <v>5</v>
      </c>
      <c r="D526">
        <v>2005</v>
      </c>
      <c r="E526" t="s">
        <v>1277</v>
      </c>
    </row>
    <row r="527" spans="1:5" x14ac:dyDescent="0.35">
      <c r="A527" t="s">
        <v>582</v>
      </c>
      <c r="B527" t="s">
        <v>1278</v>
      </c>
      <c r="C527">
        <v>6</v>
      </c>
      <c r="D527">
        <v>2006</v>
      </c>
      <c r="E527" t="s">
        <v>1279</v>
      </c>
    </row>
    <row r="528" spans="1:5" x14ac:dyDescent="0.35">
      <c r="A528" t="s">
        <v>582</v>
      </c>
      <c r="B528" t="s">
        <v>1280</v>
      </c>
      <c r="C528">
        <v>6</v>
      </c>
      <c r="D528">
        <v>2007</v>
      </c>
      <c r="E528" t="s">
        <v>1281</v>
      </c>
    </row>
    <row r="529" spans="1:5" x14ac:dyDescent="0.35">
      <c r="A529" t="s">
        <v>582</v>
      </c>
      <c r="B529" t="s">
        <v>1282</v>
      </c>
      <c r="C529">
        <v>6</v>
      </c>
      <c r="D529">
        <v>2008</v>
      </c>
      <c r="E529" t="s">
        <v>1283</v>
      </c>
    </row>
    <row r="530" spans="1:5" x14ac:dyDescent="0.35">
      <c r="A530" t="s">
        <v>582</v>
      </c>
      <c r="B530" t="s">
        <v>1284</v>
      </c>
      <c r="C530">
        <v>6</v>
      </c>
      <c r="D530">
        <v>2009</v>
      </c>
      <c r="E530" t="s">
        <v>1285</v>
      </c>
    </row>
    <row r="531" spans="1:5" x14ac:dyDescent="0.35">
      <c r="A531" t="s">
        <v>582</v>
      </c>
      <c r="B531" t="s">
        <v>1286</v>
      </c>
      <c r="C531">
        <v>6</v>
      </c>
      <c r="D531">
        <v>2010</v>
      </c>
      <c r="E531" t="s">
        <v>1287</v>
      </c>
    </row>
    <row r="532" spans="1:5" x14ac:dyDescent="0.35">
      <c r="A532" t="s">
        <v>582</v>
      </c>
      <c r="B532" t="s">
        <v>1288</v>
      </c>
      <c r="C532">
        <v>6</v>
      </c>
      <c r="D532">
        <v>2011</v>
      </c>
      <c r="E532" t="s">
        <v>1289</v>
      </c>
    </row>
    <row r="533" spans="1:5" x14ac:dyDescent="0.35">
      <c r="A533" t="s">
        <v>582</v>
      </c>
      <c r="B533" t="s">
        <v>1290</v>
      </c>
      <c r="C533">
        <v>6</v>
      </c>
      <c r="D533">
        <v>2012</v>
      </c>
      <c r="E533" t="s">
        <v>1291</v>
      </c>
    </row>
    <row r="534" spans="1:5" x14ac:dyDescent="0.35">
      <c r="A534" t="s">
        <v>582</v>
      </c>
      <c r="B534" t="s">
        <v>1292</v>
      </c>
      <c r="C534">
        <v>6</v>
      </c>
      <c r="D534">
        <v>2013</v>
      </c>
      <c r="E534" t="s">
        <v>1293</v>
      </c>
    </row>
    <row r="535" spans="1:5" x14ac:dyDescent="0.35">
      <c r="A535" t="s">
        <v>579</v>
      </c>
      <c r="B535" t="s">
        <v>1294</v>
      </c>
      <c r="C535">
        <v>5</v>
      </c>
      <c r="D535">
        <v>2014</v>
      </c>
      <c r="E535" t="s">
        <v>1295</v>
      </c>
    </row>
    <row r="536" spans="1:5" x14ac:dyDescent="0.35">
      <c r="A536" t="s">
        <v>582</v>
      </c>
      <c r="B536" t="s">
        <v>1296</v>
      </c>
      <c r="C536">
        <v>6</v>
      </c>
      <c r="D536">
        <v>2015</v>
      </c>
      <c r="E536" t="s">
        <v>1297</v>
      </c>
    </row>
    <row r="537" spans="1:5" x14ac:dyDescent="0.35">
      <c r="A537" t="s">
        <v>582</v>
      </c>
      <c r="B537" t="s">
        <v>1298</v>
      </c>
      <c r="C537">
        <v>6</v>
      </c>
      <c r="D537">
        <v>2016</v>
      </c>
      <c r="E537" t="s">
        <v>1299</v>
      </c>
    </row>
    <row r="538" spans="1:5" x14ac:dyDescent="0.35">
      <c r="A538" t="s">
        <v>579</v>
      </c>
      <c r="B538" t="s">
        <v>1300</v>
      </c>
      <c r="C538">
        <v>5</v>
      </c>
      <c r="D538">
        <v>2017</v>
      </c>
      <c r="E538" t="s">
        <v>1301</v>
      </c>
    </row>
    <row r="539" spans="1:5" x14ac:dyDescent="0.35">
      <c r="A539" t="s">
        <v>582</v>
      </c>
      <c r="B539" t="s">
        <v>1302</v>
      </c>
      <c r="C539">
        <v>6</v>
      </c>
      <c r="D539">
        <v>2018</v>
      </c>
      <c r="E539" t="s">
        <v>1303</v>
      </c>
    </row>
    <row r="540" spans="1:5" x14ac:dyDescent="0.35">
      <c r="A540" t="s">
        <v>582</v>
      </c>
      <c r="B540" t="s">
        <v>1304</v>
      </c>
      <c r="C540">
        <v>6</v>
      </c>
      <c r="D540">
        <v>2019</v>
      </c>
      <c r="E540" t="s">
        <v>1305</v>
      </c>
    </row>
    <row r="541" spans="1:5" x14ac:dyDescent="0.35">
      <c r="A541" t="s">
        <v>582</v>
      </c>
      <c r="B541" t="s">
        <v>1306</v>
      </c>
      <c r="C541">
        <v>6</v>
      </c>
      <c r="D541">
        <v>2020</v>
      </c>
      <c r="E541" t="s">
        <v>1307</v>
      </c>
    </row>
    <row r="542" spans="1:5" x14ac:dyDescent="0.35">
      <c r="A542" t="s">
        <v>582</v>
      </c>
      <c r="B542" t="s">
        <v>1308</v>
      </c>
      <c r="C542">
        <v>6</v>
      </c>
      <c r="D542">
        <v>2021</v>
      </c>
      <c r="E542" t="s">
        <v>1309</v>
      </c>
    </row>
    <row r="543" spans="1:5" x14ac:dyDescent="0.35">
      <c r="A543" t="s">
        <v>582</v>
      </c>
      <c r="B543" t="s">
        <v>1310</v>
      </c>
      <c r="C543">
        <v>6</v>
      </c>
      <c r="D543">
        <v>2022</v>
      </c>
      <c r="E543" t="s">
        <v>1311</v>
      </c>
    </row>
    <row r="544" spans="1:5" x14ac:dyDescent="0.35">
      <c r="A544" t="s">
        <v>582</v>
      </c>
      <c r="B544" t="s">
        <v>1312</v>
      </c>
      <c r="C544">
        <v>6</v>
      </c>
      <c r="D544">
        <v>2023</v>
      </c>
      <c r="E544" t="s">
        <v>1313</v>
      </c>
    </row>
    <row r="545" spans="1:5" x14ac:dyDescent="0.35">
      <c r="A545" t="s">
        <v>582</v>
      </c>
      <c r="B545" t="s">
        <v>1314</v>
      </c>
      <c r="C545">
        <v>6</v>
      </c>
      <c r="D545">
        <v>2024</v>
      </c>
      <c r="E545" t="s">
        <v>1315</v>
      </c>
    </row>
    <row r="546" spans="1:5" x14ac:dyDescent="0.35">
      <c r="A546" t="s">
        <v>579</v>
      </c>
      <c r="B546" t="s">
        <v>1316</v>
      </c>
      <c r="C546">
        <v>4</v>
      </c>
      <c r="D546">
        <v>819</v>
      </c>
      <c r="E546" t="s">
        <v>1317</v>
      </c>
    </row>
    <row r="547" spans="1:5" x14ac:dyDescent="0.35">
      <c r="A547" t="s">
        <v>579</v>
      </c>
      <c r="B547" t="s">
        <v>1318</v>
      </c>
      <c r="C547">
        <v>5</v>
      </c>
      <c r="D547">
        <v>820</v>
      </c>
      <c r="E547" t="s">
        <v>1154</v>
      </c>
    </row>
    <row r="548" spans="1:5" x14ac:dyDescent="0.35">
      <c r="A548" t="s">
        <v>582</v>
      </c>
      <c r="B548" t="s">
        <v>1319</v>
      </c>
      <c r="C548">
        <v>6</v>
      </c>
      <c r="D548">
        <v>821</v>
      </c>
      <c r="E548" t="s">
        <v>1156</v>
      </c>
    </row>
    <row r="549" spans="1:5" x14ac:dyDescent="0.35">
      <c r="A549" t="s">
        <v>582</v>
      </c>
      <c r="B549" t="s">
        <v>1320</v>
      </c>
      <c r="C549">
        <v>6</v>
      </c>
      <c r="D549">
        <v>822</v>
      </c>
      <c r="E549" t="s">
        <v>1158</v>
      </c>
    </row>
    <row r="550" spans="1:5" x14ac:dyDescent="0.35">
      <c r="A550" t="s">
        <v>582</v>
      </c>
      <c r="B550" t="s">
        <v>1321</v>
      </c>
      <c r="C550">
        <v>6</v>
      </c>
      <c r="D550">
        <v>823</v>
      </c>
      <c r="E550" t="s">
        <v>1160</v>
      </c>
    </row>
    <row r="551" spans="1:5" x14ac:dyDescent="0.35">
      <c r="A551" t="s">
        <v>582</v>
      </c>
      <c r="B551" t="s">
        <v>1322</v>
      </c>
      <c r="C551">
        <v>6</v>
      </c>
      <c r="D551">
        <v>2229</v>
      </c>
      <c r="E551" t="s">
        <v>1162</v>
      </c>
    </row>
    <row r="552" spans="1:5" x14ac:dyDescent="0.35">
      <c r="A552" t="s">
        <v>579</v>
      </c>
      <c r="B552" t="s">
        <v>1323</v>
      </c>
      <c r="C552">
        <v>5</v>
      </c>
      <c r="D552">
        <v>824</v>
      </c>
      <c r="E552" t="s">
        <v>1164</v>
      </c>
    </row>
    <row r="553" spans="1:5" x14ac:dyDescent="0.35">
      <c r="A553" t="s">
        <v>582</v>
      </c>
      <c r="B553" t="s">
        <v>1324</v>
      </c>
      <c r="C553">
        <v>6</v>
      </c>
      <c r="D553">
        <v>825</v>
      </c>
      <c r="E553" t="s">
        <v>1325</v>
      </c>
    </row>
    <row r="554" spans="1:5" x14ac:dyDescent="0.35">
      <c r="A554" t="s">
        <v>579</v>
      </c>
      <c r="B554" t="s">
        <v>1326</v>
      </c>
      <c r="C554">
        <v>5</v>
      </c>
      <c r="D554">
        <v>2025</v>
      </c>
      <c r="E554" t="s">
        <v>1327</v>
      </c>
    </row>
    <row r="555" spans="1:5" x14ac:dyDescent="0.35">
      <c r="A555" t="s">
        <v>582</v>
      </c>
      <c r="B555" t="s">
        <v>1328</v>
      </c>
      <c r="C555">
        <v>6</v>
      </c>
      <c r="D555">
        <v>2026</v>
      </c>
      <c r="E555" t="s">
        <v>1329</v>
      </c>
    </row>
    <row r="556" spans="1:5" x14ac:dyDescent="0.35">
      <c r="A556" t="s">
        <v>582</v>
      </c>
      <c r="B556" t="s">
        <v>1330</v>
      </c>
      <c r="C556">
        <v>6</v>
      </c>
      <c r="D556">
        <v>2027</v>
      </c>
      <c r="E556" t="s">
        <v>1331</v>
      </c>
    </row>
    <row r="557" spans="1:5" x14ac:dyDescent="0.35">
      <c r="A557" t="s">
        <v>579</v>
      </c>
      <c r="B557" t="s">
        <v>1332</v>
      </c>
      <c r="C557">
        <v>5</v>
      </c>
      <c r="D557">
        <v>2028</v>
      </c>
      <c r="E557" t="s">
        <v>1333</v>
      </c>
    </row>
    <row r="558" spans="1:5" x14ac:dyDescent="0.35">
      <c r="A558" t="s">
        <v>582</v>
      </c>
      <c r="B558" t="s">
        <v>1334</v>
      </c>
      <c r="C558">
        <v>6</v>
      </c>
      <c r="D558">
        <v>2029</v>
      </c>
      <c r="E558" t="s">
        <v>1335</v>
      </c>
    </row>
    <row r="559" spans="1:5" x14ac:dyDescent="0.35">
      <c r="A559" t="s">
        <v>579</v>
      </c>
      <c r="B559" t="s">
        <v>1336</v>
      </c>
      <c r="C559">
        <v>3</v>
      </c>
      <c r="D559">
        <v>826</v>
      </c>
      <c r="E559" t="s">
        <v>1337</v>
      </c>
    </row>
    <row r="560" spans="1:5" x14ac:dyDescent="0.35">
      <c r="A560" t="s">
        <v>579</v>
      </c>
      <c r="B560" t="s">
        <v>1338</v>
      </c>
      <c r="C560">
        <v>4</v>
      </c>
      <c r="D560">
        <v>827</v>
      </c>
      <c r="E560" t="s">
        <v>1339</v>
      </c>
    </row>
    <row r="561" spans="1:5" x14ac:dyDescent="0.35">
      <c r="A561" t="s">
        <v>579</v>
      </c>
      <c r="B561" t="s">
        <v>1340</v>
      </c>
      <c r="C561">
        <v>5</v>
      </c>
      <c r="D561">
        <v>828</v>
      </c>
      <c r="E561" t="s">
        <v>993</v>
      </c>
    </row>
    <row r="562" spans="1:5" x14ac:dyDescent="0.35">
      <c r="A562" t="s">
        <v>582</v>
      </c>
      <c r="B562" t="s">
        <v>1341</v>
      </c>
      <c r="C562">
        <v>6</v>
      </c>
      <c r="D562">
        <v>829</v>
      </c>
      <c r="E562" t="s">
        <v>993</v>
      </c>
    </row>
    <row r="563" spans="1:5" x14ac:dyDescent="0.35">
      <c r="A563" t="s">
        <v>582</v>
      </c>
      <c r="B563" t="s">
        <v>1342</v>
      </c>
      <c r="C563">
        <v>6</v>
      </c>
      <c r="D563">
        <v>830</v>
      </c>
      <c r="E563" t="s">
        <v>996</v>
      </c>
    </row>
    <row r="564" spans="1:5" x14ac:dyDescent="0.35">
      <c r="A564" t="s">
        <v>582</v>
      </c>
      <c r="B564" t="s">
        <v>1343</v>
      </c>
      <c r="C564">
        <v>6</v>
      </c>
      <c r="D564">
        <v>831</v>
      </c>
      <c r="E564" t="s">
        <v>998</v>
      </c>
    </row>
    <row r="565" spans="1:5" x14ac:dyDescent="0.35">
      <c r="A565" t="s">
        <v>582</v>
      </c>
      <c r="B565" t="s">
        <v>1344</v>
      </c>
      <c r="C565">
        <v>6</v>
      </c>
      <c r="D565">
        <v>832</v>
      </c>
      <c r="E565" t="s">
        <v>1000</v>
      </c>
    </row>
    <row r="566" spans="1:5" x14ac:dyDescent="0.35">
      <c r="A566" t="s">
        <v>579</v>
      </c>
      <c r="B566" t="s">
        <v>1345</v>
      </c>
      <c r="C566">
        <v>5</v>
      </c>
      <c r="D566">
        <v>833</v>
      </c>
      <c r="E566" t="s">
        <v>1002</v>
      </c>
    </row>
    <row r="567" spans="1:5" x14ac:dyDescent="0.35">
      <c r="A567" t="s">
        <v>582</v>
      </c>
      <c r="B567" t="s">
        <v>1346</v>
      </c>
      <c r="C567">
        <v>6</v>
      </c>
      <c r="D567">
        <v>834</v>
      </c>
      <c r="E567" t="s">
        <v>1002</v>
      </c>
    </row>
    <row r="568" spans="1:5" x14ac:dyDescent="0.35">
      <c r="A568" t="s">
        <v>579</v>
      </c>
      <c r="B568" t="s">
        <v>1347</v>
      </c>
      <c r="C568">
        <v>5</v>
      </c>
      <c r="D568">
        <v>835</v>
      </c>
      <c r="E568" t="s">
        <v>1005</v>
      </c>
    </row>
    <row r="569" spans="1:5" x14ac:dyDescent="0.35">
      <c r="A569" t="s">
        <v>582</v>
      </c>
      <c r="B569" t="s">
        <v>1348</v>
      </c>
      <c r="C569">
        <v>6</v>
      </c>
      <c r="D569">
        <v>836</v>
      </c>
      <c r="E569" t="s">
        <v>1007</v>
      </c>
    </row>
    <row r="570" spans="1:5" x14ac:dyDescent="0.35">
      <c r="A570" t="s">
        <v>582</v>
      </c>
      <c r="B570" t="s">
        <v>1349</v>
      </c>
      <c r="C570">
        <v>6</v>
      </c>
      <c r="D570">
        <v>837</v>
      </c>
      <c r="E570" t="s">
        <v>1009</v>
      </c>
    </row>
    <row r="571" spans="1:5" x14ac:dyDescent="0.35">
      <c r="A571" t="s">
        <v>582</v>
      </c>
      <c r="B571" t="s">
        <v>1350</v>
      </c>
      <c r="C571">
        <v>6</v>
      </c>
      <c r="D571">
        <v>838</v>
      </c>
      <c r="E571" t="s">
        <v>1011</v>
      </c>
    </row>
    <row r="572" spans="1:5" x14ac:dyDescent="0.35">
      <c r="A572" t="s">
        <v>582</v>
      </c>
      <c r="B572" t="s">
        <v>1351</v>
      </c>
      <c r="C572">
        <v>6</v>
      </c>
      <c r="D572">
        <v>839</v>
      </c>
      <c r="E572" t="s">
        <v>1013</v>
      </c>
    </row>
    <row r="573" spans="1:5" x14ac:dyDescent="0.35">
      <c r="A573" t="s">
        <v>579</v>
      </c>
      <c r="B573" t="s">
        <v>1352</v>
      </c>
      <c r="C573">
        <v>5</v>
      </c>
      <c r="D573">
        <v>2030</v>
      </c>
      <c r="E573" t="s">
        <v>1353</v>
      </c>
    </row>
    <row r="574" spans="1:5" x14ac:dyDescent="0.35">
      <c r="A574" t="s">
        <v>582</v>
      </c>
      <c r="B574" t="s">
        <v>1354</v>
      </c>
      <c r="C574">
        <v>6</v>
      </c>
      <c r="D574">
        <v>2031</v>
      </c>
      <c r="E574" t="s">
        <v>1355</v>
      </c>
    </row>
    <row r="575" spans="1:5" x14ac:dyDescent="0.35">
      <c r="A575" t="s">
        <v>582</v>
      </c>
      <c r="B575" t="s">
        <v>1356</v>
      </c>
      <c r="C575">
        <v>5</v>
      </c>
      <c r="D575">
        <v>1957</v>
      </c>
      <c r="E575" t="s">
        <v>1037</v>
      </c>
    </row>
    <row r="576" spans="1:5" x14ac:dyDescent="0.35">
      <c r="A576" t="s">
        <v>582</v>
      </c>
      <c r="B576" t="s">
        <v>1357</v>
      </c>
      <c r="C576">
        <v>6</v>
      </c>
      <c r="D576">
        <v>1958</v>
      </c>
      <c r="E576" t="s">
        <v>1039</v>
      </c>
    </row>
    <row r="577" spans="1:5" x14ac:dyDescent="0.35">
      <c r="A577" t="s">
        <v>579</v>
      </c>
      <c r="B577" t="s">
        <v>1358</v>
      </c>
      <c r="C577">
        <v>4</v>
      </c>
      <c r="D577">
        <v>840</v>
      </c>
      <c r="E577" t="s">
        <v>1359</v>
      </c>
    </row>
    <row r="578" spans="1:5" x14ac:dyDescent="0.35">
      <c r="A578" t="s">
        <v>579</v>
      </c>
      <c r="B578" t="s">
        <v>1360</v>
      </c>
      <c r="C578">
        <v>5</v>
      </c>
      <c r="D578">
        <v>841</v>
      </c>
      <c r="E578" t="s">
        <v>1043</v>
      </c>
    </row>
    <row r="579" spans="1:5" x14ac:dyDescent="0.35">
      <c r="A579" t="s">
        <v>582</v>
      </c>
      <c r="B579" t="s">
        <v>1361</v>
      </c>
      <c r="C579">
        <v>6</v>
      </c>
      <c r="D579">
        <v>842</v>
      </c>
      <c r="E579" t="s">
        <v>1045</v>
      </c>
    </row>
    <row r="580" spans="1:5" x14ac:dyDescent="0.35">
      <c r="A580" t="s">
        <v>579</v>
      </c>
      <c r="B580" t="s">
        <v>1362</v>
      </c>
      <c r="C580">
        <v>4</v>
      </c>
      <c r="D580">
        <v>843</v>
      </c>
      <c r="E580" t="s">
        <v>1363</v>
      </c>
    </row>
    <row r="581" spans="1:5" x14ac:dyDescent="0.35">
      <c r="A581" t="s">
        <v>579</v>
      </c>
      <c r="B581" t="s">
        <v>1364</v>
      </c>
      <c r="C581">
        <v>5</v>
      </c>
      <c r="D581">
        <v>844</v>
      </c>
      <c r="E581" t="s">
        <v>84</v>
      </c>
    </row>
    <row r="582" spans="1:5" x14ac:dyDescent="0.35">
      <c r="A582" t="s">
        <v>582</v>
      </c>
      <c r="B582" t="s">
        <v>1365</v>
      </c>
      <c r="C582">
        <v>6</v>
      </c>
      <c r="D582">
        <v>845</v>
      </c>
      <c r="E582" t="s">
        <v>1047</v>
      </c>
    </row>
    <row r="583" spans="1:5" x14ac:dyDescent="0.35">
      <c r="A583" t="s">
        <v>582</v>
      </c>
      <c r="B583" t="s">
        <v>1366</v>
      </c>
      <c r="C583">
        <v>6</v>
      </c>
      <c r="D583">
        <v>846</v>
      </c>
      <c r="E583" t="s">
        <v>1049</v>
      </c>
    </row>
    <row r="584" spans="1:5" x14ac:dyDescent="0.35">
      <c r="A584" t="s">
        <v>582</v>
      </c>
      <c r="B584" t="s">
        <v>1367</v>
      </c>
      <c r="C584">
        <v>6</v>
      </c>
      <c r="D584">
        <v>847</v>
      </c>
      <c r="E584" t="s">
        <v>1051</v>
      </c>
    </row>
    <row r="585" spans="1:5" x14ac:dyDescent="0.35">
      <c r="A585" t="s">
        <v>582</v>
      </c>
      <c r="B585" t="s">
        <v>1368</v>
      </c>
      <c r="C585">
        <v>6</v>
      </c>
      <c r="D585">
        <v>848</v>
      </c>
      <c r="E585" t="s">
        <v>1053</v>
      </c>
    </row>
    <row r="586" spans="1:5" x14ac:dyDescent="0.35">
      <c r="A586" t="s">
        <v>582</v>
      </c>
      <c r="B586" t="s">
        <v>1369</v>
      </c>
      <c r="C586">
        <v>6</v>
      </c>
      <c r="D586">
        <v>849</v>
      </c>
      <c r="E586" t="s">
        <v>1055</v>
      </c>
    </row>
    <row r="587" spans="1:5" x14ac:dyDescent="0.35">
      <c r="A587" t="s">
        <v>582</v>
      </c>
      <c r="B587" t="s">
        <v>1370</v>
      </c>
      <c r="C587">
        <v>6</v>
      </c>
      <c r="D587">
        <v>850</v>
      </c>
      <c r="E587" t="s">
        <v>338</v>
      </c>
    </row>
    <row r="588" spans="1:5" x14ac:dyDescent="0.35">
      <c r="A588" t="s">
        <v>582</v>
      </c>
      <c r="B588" t="s">
        <v>1371</v>
      </c>
      <c r="C588">
        <v>6</v>
      </c>
      <c r="D588">
        <v>851</v>
      </c>
      <c r="E588" t="s">
        <v>1059</v>
      </c>
    </row>
    <row r="589" spans="1:5" x14ac:dyDescent="0.35">
      <c r="A589" t="s">
        <v>582</v>
      </c>
      <c r="B589" t="s">
        <v>1372</v>
      </c>
      <c r="C589">
        <v>6</v>
      </c>
      <c r="D589">
        <v>852</v>
      </c>
      <c r="E589" t="s">
        <v>1060</v>
      </c>
    </row>
    <row r="590" spans="1:5" x14ac:dyDescent="0.35">
      <c r="A590" t="s">
        <v>582</v>
      </c>
      <c r="B590" t="s">
        <v>1373</v>
      </c>
      <c r="C590">
        <v>6</v>
      </c>
      <c r="D590">
        <v>853</v>
      </c>
      <c r="E590" t="s">
        <v>1062</v>
      </c>
    </row>
    <row r="591" spans="1:5" x14ac:dyDescent="0.35">
      <c r="A591" t="s">
        <v>582</v>
      </c>
      <c r="B591" t="s">
        <v>1374</v>
      </c>
      <c r="C591">
        <v>6</v>
      </c>
      <c r="D591">
        <v>854</v>
      </c>
      <c r="E591" t="s">
        <v>1064</v>
      </c>
    </row>
    <row r="592" spans="1:5" x14ac:dyDescent="0.35">
      <c r="A592" t="s">
        <v>582</v>
      </c>
      <c r="B592" t="s">
        <v>1375</v>
      </c>
      <c r="C592">
        <v>6</v>
      </c>
      <c r="D592">
        <v>855</v>
      </c>
      <c r="E592" t="s">
        <v>1250</v>
      </c>
    </row>
    <row r="593" spans="1:5" x14ac:dyDescent="0.35">
      <c r="A593" t="s">
        <v>582</v>
      </c>
      <c r="B593" t="s">
        <v>1376</v>
      </c>
      <c r="C593">
        <v>6</v>
      </c>
      <c r="D593">
        <v>856</v>
      </c>
      <c r="E593" t="s">
        <v>1066</v>
      </c>
    </row>
    <row r="594" spans="1:5" x14ac:dyDescent="0.35">
      <c r="A594" t="s">
        <v>582</v>
      </c>
      <c r="B594" t="s">
        <v>1377</v>
      </c>
      <c r="C594">
        <v>6</v>
      </c>
      <c r="D594">
        <v>857</v>
      </c>
      <c r="E594" t="s">
        <v>1068</v>
      </c>
    </row>
    <row r="595" spans="1:5" x14ac:dyDescent="0.35">
      <c r="A595" t="s">
        <v>582</v>
      </c>
      <c r="B595" t="s">
        <v>1378</v>
      </c>
      <c r="C595">
        <v>6</v>
      </c>
      <c r="D595">
        <v>858</v>
      </c>
      <c r="E595" t="s">
        <v>1070</v>
      </c>
    </row>
    <row r="596" spans="1:5" x14ac:dyDescent="0.35">
      <c r="A596" t="s">
        <v>582</v>
      </c>
      <c r="B596" t="s">
        <v>1379</v>
      </c>
      <c r="C596">
        <v>6</v>
      </c>
      <c r="D596">
        <v>859</v>
      </c>
      <c r="E596" t="s">
        <v>1072</v>
      </c>
    </row>
    <row r="597" spans="1:5" x14ac:dyDescent="0.35">
      <c r="A597" t="s">
        <v>582</v>
      </c>
      <c r="B597" t="s">
        <v>1380</v>
      </c>
      <c r="C597">
        <v>6</v>
      </c>
      <c r="D597">
        <v>860</v>
      </c>
      <c r="E597" t="s">
        <v>1074</v>
      </c>
    </row>
    <row r="598" spans="1:5" x14ac:dyDescent="0.35">
      <c r="A598" t="s">
        <v>582</v>
      </c>
      <c r="B598" t="s">
        <v>1381</v>
      </c>
      <c r="C598">
        <v>6</v>
      </c>
      <c r="D598">
        <v>861</v>
      </c>
      <c r="E598" t="s">
        <v>1076</v>
      </c>
    </row>
    <row r="599" spans="1:5" x14ac:dyDescent="0.35">
      <c r="A599" t="s">
        <v>582</v>
      </c>
      <c r="B599" t="s">
        <v>1382</v>
      </c>
      <c r="C599">
        <v>6</v>
      </c>
      <c r="D599">
        <v>862</v>
      </c>
      <c r="E599" t="s">
        <v>1078</v>
      </c>
    </row>
    <row r="600" spans="1:5" x14ac:dyDescent="0.35">
      <c r="A600" t="s">
        <v>582</v>
      </c>
      <c r="B600" t="s">
        <v>1383</v>
      </c>
      <c r="C600">
        <v>6</v>
      </c>
      <c r="D600">
        <v>2227</v>
      </c>
      <c r="E600" t="s">
        <v>1080</v>
      </c>
    </row>
    <row r="601" spans="1:5" x14ac:dyDescent="0.35">
      <c r="A601" t="s">
        <v>582</v>
      </c>
      <c r="B601" t="s">
        <v>1384</v>
      </c>
      <c r="C601">
        <v>6</v>
      </c>
      <c r="D601">
        <v>863</v>
      </c>
      <c r="E601" t="s">
        <v>1082</v>
      </c>
    </row>
    <row r="602" spans="1:5" x14ac:dyDescent="0.35">
      <c r="A602" t="s">
        <v>579</v>
      </c>
      <c r="B602" t="s">
        <v>1385</v>
      </c>
      <c r="C602">
        <v>5</v>
      </c>
      <c r="D602">
        <v>864</v>
      </c>
      <c r="E602" t="s">
        <v>1084</v>
      </c>
    </row>
    <row r="603" spans="1:5" x14ac:dyDescent="0.35">
      <c r="A603" t="s">
        <v>582</v>
      </c>
      <c r="B603" t="s">
        <v>1386</v>
      </c>
      <c r="C603">
        <v>6</v>
      </c>
      <c r="D603">
        <v>865</v>
      </c>
      <c r="E603" t="s">
        <v>1086</v>
      </c>
    </row>
    <row r="604" spans="1:5" x14ac:dyDescent="0.35">
      <c r="A604" t="s">
        <v>582</v>
      </c>
      <c r="B604" t="s">
        <v>1387</v>
      </c>
      <c r="C604">
        <v>6</v>
      </c>
      <c r="D604">
        <v>866</v>
      </c>
      <c r="E604" t="s">
        <v>1088</v>
      </c>
    </row>
    <row r="605" spans="1:5" x14ac:dyDescent="0.35">
      <c r="A605" t="s">
        <v>579</v>
      </c>
      <c r="B605" t="s">
        <v>1388</v>
      </c>
      <c r="C605">
        <v>5</v>
      </c>
      <c r="D605">
        <v>867</v>
      </c>
      <c r="E605" t="s">
        <v>276</v>
      </c>
    </row>
    <row r="606" spans="1:5" x14ac:dyDescent="0.35">
      <c r="A606" t="s">
        <v>582</v>
      </c>
      <c r="B606" t="s">
        <v>1389</v>
      </c>
      <c r="C606">
        <v>6</v>
      </c>
      <c r="D606">
        <v>868</v>
      </c>
      <c r="E606" t="s">
        <v>1090</v>
      </c>
    </row>
    <row r="607" spans="1:5" x14ac:dyDescent="0.35">
      <c r="A607" t="s">
        <v>582</v>
      </c>
      <c r="B607" t="s">
        <v>1390</v>
      </c>
      <c r="C607">
        <v>6</v>
      </c>
      <c r="D607">
        <v>869</v>
      </c>
      <c r="E607" t="s">
        <v>1092</v>
      </c>
    </row>
    <row r="608" spans="1:5" x14ac:dyDescent="0.35">
      <c r="A608" t="s">
        <v>582</v>
      </c>
      <c r="B608" t="s">
        <v>1391</v>
      </c>
      <c r="C608">
        <v>6</v>
      </c>
      <c r="D608">
        <v>870</v>
      </c>
      <c r="E608" t="s">
        <v>1094</v>
      </c>
    </row>
    <row r="609" spans="1:5" x14ac:dyDescent="0.35">
      <c r="A609" t="s">
        <v>582</v>
      </c>
      <c r="B609" t="s">
        <v>1392</v>
      </c>
      <c r="C609">
        <v>6</v>
      </c>
      <c r="D609">
        <v>871</v>
      </c>
      <c r="E609" t="s">
        <v>1096</v>
      </c>
    </row>
    <row r="610" spans="1:5" x14ac:dyDescent="0.35">
      <c r="A610" t="s">
        <v>582</v>
      </c>
      <c r="B610" t="s">
        <v>1393</v>
      </c>
      <c r="C610">
        <v>6</v>
      </c>
      <c r="D610">
        <v>872</v>
      </c>
      <c r="E610" t="s">
        <v>1394</v>
      </c>
    </row>
    <row r="611" spans="1:5" x14ac:dyDescent="0.35">
      <c r="A611" t="s">
        <v>582</v>
      </c>
      <c r="B611" t="s">
        <v>1395</v>
      </c>
      <c r="C611">
        <v>6</v>
      </c>
      <c r="D611">
        <v>873</v>
      </c>
      <c r="E611" t="s">
        <v>1100</v>
      </c>
    </row>
    <row r="612" spans="1:5" x14ac:dyDescent="0.35">
      <c r="A612" t="s">
        <v>582</v>
      </c>
      <c r="B612" t="s">
        <v>1396</v>
      </c>
      <c r="C612">
        <v>6</v>
      </c>
      <c r="D612">
        <v>874</v>
      </c>
      <c r="E612" t="s">
        <v>1102</v>
      </c>
    </row>
    <row r="613" spans="1:5" x14ac:dyDescent="0.35">
      <c r="A613" t="s">
        <v>582</v>
      </c>
      <c r="B613" t="s">
        <v>1397</v>
      </c>
      <c r="C613">
        <v>6</v>
      </c>
      <c r="D613">
        <v>875</v>
      </c>
      <c r="E613" t="s">
        <v>1103</v>
      </c>
    </row>
    <row r="614" spans="1:5" x14ac:dyDescent="0.35">
      <c r="A614" t="s">
        <v>582</v>
      </c>
      <c r="B614" t="s">
        <v>1398</v>
      </c>
      <c r="C614">
        <v>6</v>
      </c>
      <c r="D614">
        <v>876</v>
      </c>
      <c r="E614" t="s">
        <v>1105</v>
      </c>
    </row>
    <row r="615" spans="1:5" x14ac:dyDescent="0.35">
      <c r="A615" t="s">
        <v>582</v>
      </c>
      <c r="B615" t="s">
        <v>1399</v>
      </c>
      <c r="C615">
        <v>6</v>
      </c>
      <c r="D615">
        <v>877</v>
      </c>
      <c r="E615" t="s">
        <v>1107</v>
      </c>
    </row>
    <row r="616" spans="1:5" x14ac:dyDescent="0.35">
      <c r="A616" t="s">
        <v>582</v>
      </c>
      <c r="B616" t="s">
        <v>1400</v>
      </c>
      <c r="C616">
        <v>6</v>
      </c>
      <c r="D616">
        <v>878</v>
      </c>
      <c r="E616" t="s">
        <v>1272</v>
      </c>
    </row>
    <row r="617" spans="1:5" x14ac:dyDescent="0.35">
      <c r="A617" t="s">
        <v>582</v>
      </c>
      <c r="B617" t="s">
        <v>1401</v>
      </c>
      <c r="C617">
        <v>6</v>
      </c>
      <c r="D617">
        <v>879</v>
      </c>
      <c r="E617" t="s">
        <v>1109</v>
      </c>
    </row>
    <row r="618" spans="1:5" x14ac:dyDescent="0.35">
      <c r="A618" t="s">
        <v>582</v>
      </c>
      <c r="B618" t="s">
        <v>1402</v>
      </c>
      <c r="C618">
        <v>6</v>
      </c>
      <c r="D618">
        <v>880</v>
      </c>
      <c r="E618" t="s">
        <v>1111</v>
      </c>
    </row>
    <row r="619" spans="1:5" x14ac:dyDescent="0.35">
      <c r="A619" t="s">
        <v>582</v>
      </c>
      <c r="B619" t="s">
        <v>1403</v>
      </c>
      <c r="C619">
        <v>6</v>
      </c>
      <c r="D619">
        <v>881</v>
      </c>
      <c r="E619" t="s">
        <v>1113</v>
      </c>
    </row>
    <row r="620" spans="1:5" x14ac:dyDescent="0.35">
      <c r="A620" t="s">
        <v>579</v>
      </c>
      <c r="B620" t="s">
        <v>1404</v>
      </c>
      <c r="C620">
        <v>4</v>
      </c>
      <c r="D620">
        <v>882</v>
      </c>
      <c r="E620" t="s">
        <v>1405</v>
      </c>
    </row>
    <row r="621" spans="1:5" x14ac:dyDescent="0.35">
      <c r="A621" t="s">
        <v>579</v>
      </c>
      <c r="B621" t="s">
        <v>1406</v>
      </c>
      <c r="C621">
        <v>5</v>
      </c>
      <c r="D621">
        <v>883</v>
      </c>
      <c r="E621" t="s">
        <v>1154</v>
      </c>
    </row>
    <row r="622" spans="1:5" x14ac:dyDescent="0.35">
      <c r="A622" t="s">
        <v>582</v>
      </c>
      <c r="B622" t="s">
        <v>1407</v>
      </c>
      <c r="C622">
        <v>6</v>
      </c>
      <c r="D622">
        <v>884</v>
      </c>
      <c r="E622" t="s">
        <v>1156</v>
      </c>
    </row>
    <row r="623" spans="1:5" x14ac:dyDescent="0.35">
      <c r="A623" t="s">
        <v>582</v>
      </c>
      <c r="B623" t="s">
        <v>1408</v>
      </c>
      <c r="C623">
        <v>6</v>
      </c>
      <c r="D623">
        <v>885</v>
      </c>
      <c r="E623" t="s">
        <v>1158</v>
      </c>
    </row>
    <row r="624" spans="1:5" x14ac:dyDescent="0.35">
      <c r="A624" t="s">
        <v>582</v>
      </c>
      <c r="B624" t="s">
        <v>1409</v>
      </c>
      <c r="C624">
        <v>6</v>
      </c>
      <c r="D624">
        <v>886</v>
      </c>
      <c r="E624" t="s">
        <v>1160</v>
      </c>
    </row>
    <row r="625" spans="1:5" x14ac:dyDescent="0.35">
      <c r="A625" t="s">
        <v>582</v>
      </c>
      <c r="B625" t="s">
        <v>1410</v>
      </c>
      <c r="C625">
        <v>6</v>
      </c>
      <c r="D625">
        <v>2230</v>
      </c>
      <c r="E625" t="s">
        <v>1162</v>
      </c>
    </row>
    <row r="626" spans="1:5" x14ac:dyDescent="0.35">
      <c r="A626" t="s">
        <v>579</v>
      </c>
      <c r="B626" t="s">
        <v>1411</v>
      </c>
      <c r="C626">
        <v>5</v>
      </c>
      <c r="D626">
        <v>887</v>
      </c>
      <c r="E626" t="s">
        <v>1164</v>
      </c>
    </row>
    <row r="627" spans="1:5" x14ac:dyDescent="0.35">
      <c r="A627" t="s">
        <v>582</v>
      </c>
      <c r="B627" t="s">
        <v>1412</v>
      </c>
      <c r="C627">
        <v>6</v>
      </c>
      <c r="D627">
        <v>888</v>
      </c>
      <c r="E627" t="s">
        <v>1413</v>
      </c>
    </row>
    <row r="628" spans="1:5" x14ac:dyDescent="0.35">
      <c r="A628" t="s">
        <v>579</v>
      </c>
      <c r="B628" t="s">
        <v>1414</v>
      </c>
      <c r="C628">
        <v>2</v>
      </c>
      <c r="D628">
        <v>889</v>
      </c>
      <c r="E628" t="s">
        <v>1415</v>
      </c>
    </row>
    <row r="629" spans="1:5" x14ac:dyDescent="0.35">
      <c r="A629" t="s">
        <v>579</v>
      </c>
      <c r="B629" t="s">
        <v>1416</v>
      </c>
      <c r="C629">
        <v>3</v>
      </c>
      <c r="D629">
        <v>890</v>
      </c>
      <c r="E629" t="s">
        <v>1415</v>
      </c>
    </row>
    <row r="630" spans="1:5" x14ac:dyDescent="0.35">
      <c r="A630" t="s">
        <v>579</v>
      </c>
      <c r="B630" t="s">
        <v>1417</v>
      </c>
      <c r="C630">
        <v>4</v>
      </c>
      <c r="D630">
        <v>891</v>
      </c>
      <c r="E630" t="s">
        <v>1418</v>
      </c>
    </row>
    <row r="631" spans="1:5" x14ac:dyDescent="0.35">
      <c r="A631" t="s">
        <v>579</v>
      </c>
      <c r="B631" t="s">
        <v>1419</v>
      </c>
      <c r="C631">
        <v>5</v>
      </c>
      <c r="D631">
        <v>892</v>
      </c>
      <c r="E631" t="s">
        <v>1418</v>
      </c>
    </row>
    <row r="632" spans="1:5" x14ac:dyDescent="0.35">
      <c r="A632" t="s">
        <v>582</v>
      </c>
      <c r="B632" t="s">
        <v>1420</v>
      </c>
      <c r="C632">
        <v>6</v>
      </c>
      <c r="D632">
        <v>893</v>
      </c>
      <c r="E632" t="s">
        <v>1421</v>
      </c>
    </row>
    <row r="633" spans="1:5" x14ac:dyDescent="0.35">
      <c r="A633" t="s">
        <v>582</v>
      </c>
      <c r="B633" t="s">
        <v>1422</v>
      </c>
      <c r="C633">
        <v>6</v>
      </c>
      <c r="D633">
        <v>894</v>
      </c>
      <c r="E633" t="s">
        <v>1423</v>
      </c>
    </row>
    <row r="634" spans="1:5" x14ac:dyDescent="0.35">
      <c r="A634" t="s">
        <v>582</v>
      </c>
      <c r="B634" t="s">
        <v>1424</v>
      </c>
      <c r="C634">
        <v>6</v>
      </c>
      <c r="D634">
        <v>895</v>
      </c>
      <c r="E634" t="s">
        <v>1425</v>
      </c>
    </row>
    <row r="635" spans="1:5" x14ac:dyDescent="0.35">
      <c r="A635" t="s">
        <v>582</v>
      </c>
      <c r="B635" t="s">
        <v>1426</v>
      </c>
      <c r="C635">
        <v>6</v>
      </c>
      <c r="D635">
        <v>896</v>
      </c>
      <c r="E635" t="s">
        <v>1427</v>
      </c>
    </row>
    <row r="636" spans="1:5" x14ac:dyDescent="0.35">
      <c r="A636" t="s">
        <v>582</v>
      </c>
      <c r="B636" t="s">
        <v>1428</v>
      </c>
      <c r="C636">
        <v>6</v>
      </c>
      <c r="D636">
        <v>897</v>
      </c>
      <c r="E636" t="s">
        <v>1429</v>
      </c>
    </row>
    <row r="637" spans="1:5" x14ac:dyDescent="0.35">
      <c r="A637" t="s">
        <v>582</v>
      </c>
      <c r="B637" t="s">
        <v>1430</v>
      </c>
      <c r="C637">
        <v>6</v>
      </c>
      <c r="D637">
        <v>2032</v>
      </c>
      <c r="E637" t="s">
        <v>1431</v>
      </c>
    </row>
    <row r="638" spans="1:5" x14ac:dyDescent="0.35">
      <c r="A638" t="s">
        <v>579</v>
      </c>
      <c r="B638">
        <v>2</v>
      </c>
      <c r="C638">
        <v>1</v>
      </c>
      <c r="D638">
        <v>98</v>
      </c>
      <c r="E638" t="s">
        <v>195</v>
      </c>
    </row>
    <row r="639" spans="1:5" x14ac:dyDescent="0.35">
      <c r="A639" t="s">
        <v>579</v>
      </c>
      <c r="B639" t="s">
        <v>343</v>
      </c>
      <c r="C639">
        <v>2</v>
      </c>
      <c r="D639">
        <v>99</v>
      </c>
      <c r="E639" t="s">
        <v>344</v>
      </c>
    </row>
    <row r="640" spans="1:5" x14ac:dyDescent="0.35">
      <c r="A640" t="s">
        <v>579</v>
      </c>
      <c r="B640" t="s">
        <v>345</v>
      </c>
      <c r="C640">
        <v>3</v>
      </c>
      <c r="D640">
        <v>100</v>
      </c>
      <c r="E640" t="s">
        <v>346</v>
      </c>
    </row>
    <row r="641" spans="1:5" x14ac:dyDescent="0.35">
      <c r="A641" t="s">
        <v>579</v>
      </c>
      <c r="B641" t="s">
        <v>348</v>
      </c>
      <c r="C641">
        <v>4</v>
      </c>
      <c r="D641">
        <v>101</v>
      </c>
      <c r="E641" t="s">
        <v>349</v>
      </c>
    </row>
    <row r="642" spans="1:5" x14ac:dyDescent="0.35">
      <c r="A642" t="s">
        <v>579</v>
      </c>
      <c r="B642" t="s">
        <v>350</v>
      </c>
      <c r="C642">
        <v>5</v>
      </c>
      <c r="D642">
        <v>898</v>
      </c>
      <c r="E642" t="s">
        <v>351</v>
      </c>
    </row>
    <row r="643" spans="1:5" x14ac:dyDescent="0.35">
      <c r="A643" t="s">
        <v>582</v>
      </c>
      <c r="B643" t="s">
        <v>353</v>
      </c>
      <c r="C643">
        <v>6</v>
      </c>
      <c r="D643">
        <v>899</v>
      </c>
      <c r="E643" t="s">
        <v>354</v>
      </c>
    </row>
    <row r="644" spans="1:5" x14ac:dyDescent="0.35">
      <c r="A644" t="s">
        <v>579</v>
      </c>
      <c r="B644" t="s">
        <v>356</v>
      </c>
      <c r="C644">
        <v>5</v>
      </c>
      <c r="D644">
        <v>900</v>
      </c>
      <c r="E644" t="s">
        <v>357</v>
      </c>
    </row>
    <row r="645" spans="1:5" x14ac:dyDescent="0.35">
      <c r="A645" t="s">
        <v>582</v>
      </c>
      <c r="B645" t="s">
        <v>359</v>
      </c>
      <c r="C645">
        <v>6</v>
      </c>
      <c r="D645">
        <v>901</v>
      </c>
      <c r="E645" t="s">
        <v>360</v>
      </c>
    </row>
    <row r="646" spans="1:5" x14ac:dyDescent="0.35">
      <c r="A646" t="s">
        <v>579</v>
      </c>
      <c r="B646" t="s">
        <v>1432</v>
      </c>
      <c r="C646">
        <v>5</v>
      </c>
      <c r="D646">
        <v>902</v>
      </c>
      <c r="E646" t="s">
        <v>1433</v>
      </c>
    </row>
    <row r="647" spans="1:5" x14ac:dyDescent="0.35">
      <c r="A647" t="s">
        <v>582</v>
      </c>
      <c r="B647" t="s">
        <v>1434</v>
      </c>
      <c r="C647">
        <v>6</v>
      </c>
      <c r="D647">
        <v>903</v>
      </c>
      <c r="E647" t="s">
        <v>1435</v>
      </c>
    </row>
    <row r="648" spans="1:5" x14ac:dyDescent="0.35">
      <c r="A648" t="s">
        <v>579</v>
      </c>
      <c r="B648" t="s">
        <v>362</v>
      </c>
      <c r="C648">
        <v>5</v>
      </c>
      <c r="D648">
        <v>904</v>
      </c>
      <c r="E648" t="s">
        <v>1436</v>
      </c>
    </row>
    <row r="649" spans="1:5" x14ac:dyDescent="0.35">
      <c r="A649" t="s">
        <v>582</v>
      </c>
      <c r="B649" t="s">
        <v>365</v>
      </c>
      <c r="C649">
        <v>6</v>
      </c>
      <c r="D649">
        <v>905</v>
      </c>
      <c r="E649" t="s">
        <v>366</v>
      </c>
    </row>
    <row r="650" spans="1:5" x14ac:dyDescent="0.35">
      <c r="A650" t="s">
        <v>579</v>
      </c>
      <c r="B650" t="s">
        <v>1437</v>
      </c>
      <c r="C650">
        <v>5</v>
      </c>
      <c r="D650">
        <v>906</v>
      </c>
      <c r="E650" t="s">
        <v>1438</v>
      </c>
    </row>
    <row r="651" spans="1:5" x14ac:dyDescent="0.35">
      <c r="A651" t="s">
        <v>582</v>
      </c>
      <c r="B651" t="s">
        <v>1439</v>
      </c>
      <c r="C651">
        <v>6</v>
      </c>
      <c r="D651">
        <v>907</v>
      </c>
      <c r="E651" t="s">
        <v>1438</v>
      </c>
    </row>
    <row r="652" spans="1:5" x14ac:dyDescent="0.35">
      <c r="A652" t="s">
        <v>579</v>
      </c>
      <c r="B652" t="s">
        <v>368</v>
      </c>
      <c r="C652">
        <v>4</v>
      </c>
      <c r="D652">
        <v>126</v>
      </c>
      <c r="E652" t="s">
        <v>369</v>
      </c>
    </row>
    <row r="653" spans="1:5" x14ac:dyDescent="0.35">
      <c r="A653" t="s">
        <v>579</v>
      </c>
      <c r="B653" t="s">
        <v>370</v>
      </c>
      <c r="C653">
        <v>5</v>
      </c>
      <c r="D653">
        <v>127</v>
      </c>
      <c r="E653" t="s">
        <v>371</v>
      </c>
    </row>
    <row r="654" spans="1:5" x14ac:dyDescent="0.35">
      <c r="A654" t="s">
        <v>582</v>
      </c>
      <c r="B654" t="s">
        <v>373</v>
      </c>
      <c r="C654">
        <v>6</v>
      </c>
      <c r="D654">
        <v>908</v>
      </c>
      <c r="E654" t="s">
        <v>374</v>
      </c>
    </row>
    <row r="655" spans="1:5" x14ac:dyDescent="0.35">
      <c r="A655" t="s">
        <v>582</v>
      </c>
      <c r="B655" t="s">
        <v>1440</v>
      </c>
      <c r="C655">
        <v>6</v>
      </c>
      <c r="D655">
        <v>909</v>
      </c>
      <c r="E655" t="s">
        <v>1441</v>
      </c>
    </row>
    <row r="656" spans="1:5" x14ac:dyDescent="0.35">
      <c r="A656" t="s">
        <v>582</v>
      </c>
      <c r="B656" t="s">
        <v>375</v>
      </c>
      <c r="C656">
        <v>6</v>
      </c>
      <c r="D656">
        <v>910</v>
      </c>
      <c r="E656" t="s">
        <v>376</v>
      </c>
    </row>
    <row r="657" spans="1:5" x14ac:dyDescent="0.35">
      <c r="A657" t="s">
        <v>582</v>
      </c>
      <c r="B657" t="s">
        <v>377</v>
      </c>
      <c r="C657">
        <v>6</v>
      </c>
      <c r="D657">
        <v>911</v>
      </c>
      <c r="E657" t="s">
        <v>378</v>
      </c>
    </row>
    <row r="658" spans="1:5" x14ac:dyDescent="0.35">
      <c r="A658" t="s">
        <v>582</v>
      </c>
      <c r="B658" t="s">
        <v>379</v>
      </c>
      <c r="C658">
        <v>6</v>
      </c>
      <c r="D658">
        <v>912</v>
      </c>
      <c r="E658" t="s">
        <v>380</v>
      </c>
    </row>
    <row r="659" spans="1:5" x14ac:dyDescent="0.35">
      <c r="A659" t="s">
        <v>579</v>
      </c>
      <c r="B659" t="s">
        <v>382</v>
      </c>
      <c r="C659">
        <v>5</v>
      </c>
      <c r="D659">
        <v>135</v>
      </c>
      <c r="E659" t="s">
        <v>383</v>
      </c>
    </row>
    <row r="660" spans="1:5" x14ac:dyDescent="0.35">
      <c r="A660" t="s">
        <v>582</v>
      </c>
      <c r="B660" t="s">
        <v>1442</v>
      </c>
      <c r="C660">
        <v>6</v>
      </c>
      <c r="D660">
        <v>913</v>
      </c>
      <c r="E660" t="s">
        <v>1443</v>
      </c>
    </row>
    <row r="661" spans="1:5" x14ac:dyDescent="0.35">
      <c r="A661" t="s">
        <v>582</v>
      </c>
      <c r="B661" t="s">
        <v>384</v>
      </c>
      <c r="C661">
        <v>6</v>
      </c>
      <c r="D661">
        <v>914</v>
      </c>
      <c r="E661" t="s">
        <v>385</v>
      </c>
    </row>
    <row r="662" spans="1:5" x14ac:dyDescent="0.35">
      <c r="A662" t="s">
        <v>582</v>
      </c>
      <c r="B662" t="s">
        <v>386</v>
      </c>
      <c r="C662">
        <v>6</v>
      </c>
      <c r="D662">
        <v>915</v>
      </c>
      <c r="E662" t="s">
        <v>387</v>
      </c>
    </row>
    <row r="663" spans="1:5" x14ac:dyDescent="0.35">
      <c r="A663" t="s">
        <v>582</v>
      </c>
      <c r="B663" t="s">
        <v>388</v>
      </c>
      <c r="C663">
        <v>6</v>
      </c>
      <c r="D663">
        <v>916</v>
      </c>
      <c r="E663" t="s">
        <v>389</v>
      </c>
    </row>
    <row r="664" spans="1:5" x14ac:dyDescent="0.35">
      <c r="A664" t="s">
        <v>582</v>
      </c>
      <c r="B664" t="s">
        <v>1444</v>
      </c>
      <c r="C664">
        <v>6</v>
      </c>
      <c r="D664">
        <v>917</v>
      </c>
      <c r="E664" t="s">
        <v>1445</v>
      </c>
    </row>
    <row r="665" spans="1:5" x14ac:dyDescent="0.35">
      <c r="A665" t="s">
        <v>582</v>
      </c>
      <c r="B665" t="s">
        <v>1446</v>
      </c>
      <c r="C665">
        <v>6</v>
      </c>
      <c r="D665">
        <v>918</v>
      </c>
      <c r="E665" t="s">
        <v>1447</v>
      </c>
    </row>
    <row r="666" spans="1:5" x14ac:dyDescent="0.35">
      <c r="A666" t="s">
        <v>579</v>
      </c>
      <c r="B666" t="s">
        <v>390</v>
      </c>
      <c r="C666">
        <v>5</v>
      </c>
      <c r="D666">
        <v>149</v>
      </c>
      <c r="E666" t="s">
        <v>391</v>
      </c>
    </row>
    <row r="667" spans="1:5" x14ac:dyDescent="0.35">
      <c r="A667" t="s">
        <v>582</v>
      </c>
      <c r="B667" t="s">
        <v>392</v>
      </c>
      <c r="C667">
        <v>6</v>
      </c>
      <c r="D667">
        <v>919</v>
      </c>
      <c r="E667" t="s">
        <v>393</v>
      </c>
    </row>
    <row r="668" spans="1:5" x14ac:dyDescent="0.35">
      <c r="A668" t="s">
        <v>582</v>
      </c>
      <c r="B668" t="s">
        <v>1448</v>
      </c>
      <c r="C668">
        <v>6</v>
      </c>
      <c r="D668">
        <v>920</v>
      </c>
      <c r="E668" t="s">
        <v>1449</v>
      </c>
    </row>
    <row r="669" spans="1:5" x14ac:dyDescent="0.35">
      <c r="A669" t="s">
        <v>582</v>
      </c>
      <c r="B669" t="s">
        <v>394</v>
      </c>
      <c r="C669">
        <v>6</v>
      </c>
      <c r="D669">
        <v>921</v>
      </c>
      <c r="E669" t="s">
        <v>395</v>
      </c>
    </row>
    <row r="670" spans="1:5" x14ac:dyDescent="0.35">
      <c r="A670" t="s">
        <v>582</v>
      </c>
      <c r="B670" t="s">
        <v>396</v>
      </c>
      <c r="C670">
        <v>6</v>
      </c>
      <c r="D670">
        <v>922</v>
      </c>
      <c r="E670" t="s">
        <v>397</v>
      </c>
    </row>
    <row r="671" spans="1:5" x14ac:dyDescent="0.35">
      <c r="A671" t="s">
        <v>582</v>
      </c>
      <c r="B671" t="s">
        <v>399</v>
      </c>
      <c r="C671">
        <v>6</v>
      </c>
      <c r="D671">
        <v>923</v>
      </c>
      <c r="E671" t="s">
        <v>400</v>
      </c>
    </row>
    <row r="672" spans="1:5" x14ac:dyDescent="0.35">
      <c r="A672" t="s">
        <v>582</v>
      </c>
      <c r="B672" t="s">
        <v>1450</v>
      </c>
      <c r="C672">
        <v>6</v>
      </c>
      <c r="D672">
        <v>2312</v>
      </c>
      <c r="E672" t="s">
        <v>1451</v>
      </c>
    </row>
    <row r="673" spans="1:5" x14ac:dyDescent="0.35">
      <c r="A673" t="s">
        <v>582</v>
      </c>
      <c r="B673" t="s">
        <v>401</v>
      </c>
      <c r="C673">
        <v>6</v>
      </c>
      <c r="D673">
        <v>2320</v>
      </c>
      <c r="E673" t="s">
        <v>402</v>
      </c>
    </row>
    <row r="674" spans="1:5" x14ac:dyDescent="0.35">
      <c r="A674" t="s">
        <v>579</v>
      </c>
      <c r="B674" t="s">
        <v>404</v>
      </c>
      <c r="C674">
        <v>5</v>
      </c>
      <c r="D674">
        <v>924</v>
      </c>
      <c r="E674" t="s">
        <v>405</v>
      </c>
    </row>
    <row r="675" spans="1:5" x14ac:dyDescent="0.35">
      <c r="A675" t="s">
        <v>582</v>
      </c>
      <c r="B675" t="s">
        <v>1452</v>
      </c>
      <c r="C675">
        <v>6</v>
      </c>
      <c r="D675">
        <v>925</v>
      </c>
      <c r="E675" t="s">
        <v>1453</v>
      </c>
    </row>
    <row r="676" spans="1:5" x14ac:dyDescent="0.35">
      <c r="A676" t="s">
        <v>582</v>
      </c>
      <c r="B676" t="s">
        <v>1454</v>
      </c>
      <c r="C676">
        <v>6</v>
      </c>
      <c r="D676">
        <v>926</v>
      </c>
      <c r="E676" t="s">
        <v>1455</v>
      </c>
    </row>
    <row r="677" spans="1:5" x14ac:dyDescent="0.35">
      <c r="A677" t="s">
        <v>582</v>
      </c>
      <c r="B677" t="s">
        <v>1456</v>
      </c>
      <c r="C677">
        <v>6</v>
      </c>
      <c r="D677">
        <v>927</v>
      </c>
      <c r="E677" t="s">
        <v>1457</v>
      </c>
    </row>
    <row r="678" spans="1:5" x14ac:dyDescent="0.35">
      <c r="A678" t="s">
        <v>582</v>
      </c>
      <c r="B678" t="s">
        <v>406</v>
      </c>
      <c r="C678">
        <v>6</v>
      </c>
      <c r="D678">
        <v>928</v>
      </c>
      <c r="E678" t="s">
        <v>407</v>
      </c>
    </row>
    <row r="679" spans="1:5" x14ac:dyDescent="0.35">
      <c r="A679" t="s">
        <v>582</v>
      </c>
      <c r="B679" t="s">
        <v>1458</v>
      </c>
      <c r="C679">
        <v>6</v>
      </c>
      <c r="D679">
        <v>929</v>
      </c>
      <c r="E679" t="s">
        <v>1459</v>
      </c>
    </row>
    <row r="680" spans="1:5" x14ac:dyDescent="0.35">
      <c r="A680" t="s">
        <v>582</v>
      </c>
      <c r="B680" t="s">
        <v>408</v>
      </c>
      <c r="C680">
        <v>6</v>
      </c>
      <c r="D680">
        <v>930</v>
      </c>
      <c r="E680" t="s">
        <v>409</v>
      </c>
    </row>
    <row r="681" spans="1:5" x14ac:dyDescent="0.35">
      <c r="A681" t="s">
        <v>582</v>
      </c>
      <c r="B681" t="s">
        <v>1460</v>
      </c>
      <c r="C681">
        <v>6</v>
      </c>
      <c r="D681">
        <v>931</v>
      </c>
      <c r="E681" t="s">
        <v>1461</v>
      </c>
    </row>
    <row r="682" spans="1:5" x14ac:dyDescent="0.35">
      <c r="A682" t="s">
        <v>582</v>
      </c>
      <c r="B682" t="s">
        <v>1462</v>
      </c>
      <c r="C682">
        <v>6</v>
      </c>
      <c r="D682">
        <v>932</v>
      </c>
      <c r="E682" t="s">
        <v>1463</v>
      </c>
    </row>
    <row r="683" spans="1:5" x14ac:dyDescent="0.35">
      <c r="A683" t="s">
        <v>582</v>
      </c>
      <c r="B683" t="s">
        <v>1464</v>
      </c>
      <c r="C683">
        <v>6</v>
      </c>
      <c r="D683">
        <v>933</v>
      </c>
      <c r="E683" t="s">
        <v>1465</v>
      </c>
    </row>
    <row r="684" spans="1:5" x14ac:dyDescent="0.35">
      <c r="A684" t="s">
        <v>582</v>
      </c>
      <c r="B684" t="s">
        <v>1466</v>
      </c>
      <c r="C684">
        <v>6</v>
      </c>
      <c r="D684">
        <v>934</v>
      </c>
      <c r="E684" t="s">
        <v>1467</v>
      </c>
    </row>
    <row r="685" spans="1:5" x14ac:dyDescent="0.35">
      <c r="A685" t="s">
        <v>582</v>
      </c>
      <c r="B685" t="s">
        <v>1468</v>
      </c>
      <c r="C685">
        <v>6</v>
      </c>
      <c r="D685">
        <v>935</v>
      </c>
      <c r="E685" t="s">
        <v>1469</v>
      </c>
    </row>
    <row r="686" spans="1:5" x14ac:dyDescent="0.35">
      <c r="A686" t="s">
        <v>582</v>
      </c>
      <c r="B686" t="s">
        <v>1470</v>
      </c>
      <c r="C686">
        <v>6</v>
      </c>
      <c r="D686">
        <v>936</v>
      </c>
      <c r="E686" t="s">
        <v>1471</v>
      </c>
    </row>
    <row r="687" spans="1:5" x14ac:dyDescent="0.35">
      <c r="A687" t="s">
        <v>582</v>
      </c>
      <c r="B687" t="s">
        <v>1472</v>
      </c>
      <c r="C687">
        <v>6</v>
      </c>
      <c r="D687">
        <v>937</v>
      </c>
      <c r="E687" t="s">
        <v>1473</v>
      </c>
    </row>
    <row r="688" spans="1:5" x14ac:dyDescent="0.35">
      <c r="A688" t="s">
        <v>582</v>
      </c>
      <c r="B688" t="s">
        <v>1474</v>
      </c>
      <c r="C688">
        <v>6</v>
      </c>
      <c r="D688">
        <v>938</v>
      </c>
      <c r="E688" t="s">
        <v>1475</v>
      </c>
    </row>
    <row r="689" spans="1:5" x14ac:dyDescent="0.35">
      <c r="A689" t="s">
        <v>582</v>
      </c>
      <c r="B689" t="s">
        <v>1476</v>
      </c>
      <c r="C689">
        <v>6</v>
      </c>
      <c r="D689">
        <v>939</v>
      </c>
      <c r="E689" t="s">
        <v>1477</v>
      </c>
    </row>
    <row r="690" spans="1:5" x14ac:dyDescent="0.35">
      <c r="A690" t="s">
        <v>582</v>
      </c>
      <c r="B690" t="s">
        <v>1478</v>
      </c>
      <c r="C690">
        <v>6</v>
      </c>
      <c r="D690">
        <v>940</v>
      </c>
      <c r="E690" t="s">
        <v>1479</v>
      </c>
    </row>
    <row r="691" spans="1:5" x14ac:dyDescent="0.35">
      <c r="A691" t="s">
        <v>582</v>
      </c>
      <c r="B691" t="s">
        <v>1480</v>
      </c>
      <c r="C691">
        <v>6</v>
      </c>
      <c r="D691">
        <v>941</v>
      </c>
      <c r="E691" t="s">
        <v>1481</v>
      </c>
    </row>
    <row r="692" spans="1:5" x14ac:dyDescent="0.35">
      <c r="A692" t="s">
        <v>582</v>
      </c>
      <c r="B692" t="s">
        <v>1482</v>
      </c>
      <c r="C692">
        <v>6</v>
      </c>
      <c r="D692">
        <v>942</v>
      </c>
      <c r="E692" t="s">
        <v>1483</v>
      </c>
    </row>
    <row r="693" spans="1:5" x14ac:dyDescent="0.35">
      <c r="A693" t="s">
        <v>582</v>
      </c>
      <c r="B693" t="s">
        <v>1484</v>
      </c>
      <c r="C693">
        <v>6</v>
      </c>
      <c r="D693">
        <v>943</v>
      </c>
      <c r="E693" t="s">
        <v>1485</v>
      </c>
    </row>
    <row r="694" spans="1:5" x14ac:dyDescent="0.35">
      <c r="A694" t="s">
        <v>582</v>
      </c>
      <c r="B694" t="s">
        <v>1486</v>
      </c>
      <c r="C694">
        <v>6</v>
      </c>
      <c r="D694">
        <v>944</v>
      </c>
      <c r="E694" t="s">
        <v>1487</v>
      </c>
    </row>
    <row r="695" spans="1:5" x14ac:dyDescent="0.35">
      <c r="A695" t="s">
        <v>582</v>
      </c>
      <c r="B695" t="s">
        <v>1488</v>
      </c>
      <c r="C695">
        <v>6</v>
      </c>
      <c r="D695">
        <v>945</v>
      </c>
      <c r="E695" t="s">
        <v>1489</v>
      </c>
    </row>
    <row r="696" spans="1:5" x14ac:dyDescent="0.35">
      <c r="A696" t="s">
        <v>582</v>
      </c>
      <c r="B696" t="s">
        <v>1490</v>
      </c>
      <c r="C696">
        <v>6</v>
      </c>
      <c r="D696">
        <v>1908</v>
      </c>
      <c r="E696" t="s">
        <v>1491</v>
      </c>
    </row>
    <row r="697" spans="1:5" x14ac:dyDescent="0.35">
      <c r="A697" t="s">
        <v>582</v>
      </c>
      <c r="B697" t="s">
        <v>1492</v>
      </c>
      <c r="C697">
        <v>6</v>
      </c>
      <c r="D697">
        <v>1964</v>
      </c>
      <c r="E697" t="s">
        <v>1493</v>
      </c>
    </row>
    <row r="698" spans="1:5" x14ac:dyDescent="0.35">
      <c r="A698" t="s">
        <v>582</v>
      </c>
      <c r="B698" t="s">
        <v>1494</v>
      </c>
      <c r="C698">
        <v>6</v>
      </c>
      <c r="D698">
        <v>1974</v>
      </c>
      <c r="E698" t="s">
        <v>1495</v>
      </c>
    </row>
    <row r="699" spans="1:5" x14ac:dyDescent="0.35">
      <c r="A699" t="s">
        <v>582</v>
      </c>
      <c r="B699" t="s">
        <v>1496</v>
      </c>
      <c r="C699">
        <v>6</v>
      </c>
      <c r="D699">
        <v>1975</v>
      </c>
      <c r="E699" t="s">
        <v>1497</v>
      </c>
    </row>
    <row r="700" spans="1:5" x14ac:dyDescent="0.35">
      <c r="A700" t="s">
        <v>582</v>
      </c>
      <c r="B700" t="s">
        <v>1498</v>
      </c>
      <c r="C700">
        <v>6</v>
      </c>
      <c r="D700">
        <v>1976</v>
      </c>
      <c r="E700" t="s">
        <v>1499</v>
      </c>
    </row>
    <row r="701" spans="1:5" x14ac:dyDescent="0.35">
      <c r="A701" t="s">
        <v>582</v>
      </c>
      <c r="B701" t="s">
        <v>1500</v>
      </c>
      <c r="C701">
        <v>6</v>
      </c>
      <c r="D701">
        <v>2297</v>
      </c>
      <c r="E701" t="s">
        <v>1501</v>
      </c>
    </row>
    <row r="702" spans="1:5" x14ac:dyDescent="0.35">
      <c r="A702" t="s">
        <v>579</v>
      </c>
      <c r="B702" t="s">
        <v>410</v>
      </c>
      <c r="C702">
        <v>5</v>
      </c>
      <c r="D702">
        <v>946</v>
      </c>
      <c r="E702" t="s">
        <v>411</v>
      </c>
    </row>
    <row r="703" spans="1:5" x14ac:dyDescent="0.35">
      <c r="A703" t="s">
        <v>582</v>
      </c>
      <c r="B703" t="s">
        <v>412</v>
      </c>
      <c r="C703">
        <v>6</v>
      </c>
      <c r="D703">
        <v>947</v>
      </c>
      <c r="E703" t="s">
        <v>1502</v>
      </c>
    </row>
    <row r="704" spans="1:5" x14ac:dyDescent="0.35">
      <c r="A704" t="s">
        <v>582</v>
      </c>
      <c r="B704" t="s">
        <v>415</v>
      </c>
      <c r="C704">
        <v>6</v>
      </c>
      <c r="D704">
        <v>948</v>
      </c>
      <c r="E704" t="s">
        <v>417</v>
      </c>
    </row>
    <row r="705" spans="1:5" x14ac:dyDescent="0.35">
      <c r="A705" t="s">
        <v>582</v>
      </c>
      <c r="B705" t="s">
        <v>418</v>
      </c>
      <c r="C705">
        <v>6</v>
      </c>
      <c r="D705">
        <v>949</v>
      </c>
      <c r="E705" t="s">
        <v>1503</v>
      </c>
    </row>
    <row r="706" spans="1:5" x14ac:dyDescent="0.35">
      <c r="A706" t="s">
        <v>582</v>
      </c>
      <c r="B706" t="s">
        <v>421</v>
      </c>
      <c r="C706">
        <v>6</v>
      </c>
      <c r="D706">
        <v>2033</v>
      </c>
      <c r="E706" t="s">
        <v>1504</v>
      </c>
    </row>
    <row r="707" spans="1:5" x14ac:dyDescent="0.35">
      <c r="A707" t="s">
        <v>582</v>
      </c>
      <c r="B707" t="s">
        <v>1505</v>
      </c>
      <c r="C707">
        <v>6</v>
      </c>
      <c r="D707">
        <v>2100</v>
      </c>
      <c r="E707" t="s">
        <v>1506</v>
      </c>
    </row>
    <row r="708" spans="1:5" x14ac:dyDescent="0.35">
      <c r="A708" t="s">
        <v>582</v>
      </c>
      <c r="B708" t="s">
        <v>1507</v>
      </c>
      <c r="C708">
        <v>6</v>
      </c>
      <c r="D708">
        <v>2109</v>
      </c>
      <c r="E708" t="s">
        <v>1508</v>
      </c>
    </row>
    <row r="709" spans="1:5" x14ac:dyDescent="0.35">
      <c r="A709" t="s">
        <v>579</v>
      </c>
      <c r="B709" t="s">
        <v>1509</v>
      </c>
      <c r="C709">
        <v>5</v>
      </c>
      <c r="D709">
        <v>950</v>
      </c>
      <c r="E709" t="s">
        <v>1510</v>
      </c>
    </row>
    <row r="710" spans="1:5" x14ac:dyDescent="0.35">
      <c r="A710" t="s">
        <v>582</v>
      </c>
      <c r="B710" t="s">
        <v>1511</v>
      </c>
      <c r="C710">
        <v>6</v>
      </c>
      <c r="D710">
        <v>951</v>
      </c>
      <c r="E710" t="s">
        <v>1512</v>
      </c>
    </row>
    <row r="711" spans="1:5" x14ac:dyDescent="0.35">
      <c r="A711" t="s">
        <v>582</v>
      </c>
      <c r="B711" t="s">
        <v>1513</v>
      </c>
      <c r="C711">
        <v>6</v>
      </c>
      <c r="D711">
        <v>2275</v>
      </c>
      <c r="E711" t="s">
        <v>1514</v>
      </c>
    </row>
    <row r="712" spans="1:5" x14ac:dyDescent="0.35">
      <c r="A712" t="s">
        <v>579</v>
      </c>
      <c r="B712" t="s">
        <v>1515</v>
      </c>
      <c r="C712">
        <v>4</v>
      </c>
      <c r="D712">
        <v>188</v>
      </c>
      <c r="E712" t="s">
        <v>1516</v>
      </c>
    </row>
    <row r="713" spans="1:5" x14ac:dyDescent="0.35">
      <c r="A713" t="s">
        <v>579</v>
      </c>
      <c r="B713" t="s">
        <v>1517</v>
      </c>
      <c r="C713">
        <v>5</v>
      </c>
      <c r="D713">
        <v>189</v>
      </c>
      <c r="E713" t="s">
        <v>1518</v>
      </c>
    </row>
    <row r="714" spans="1:5" x14ac:dyDescent="0.35">
      <c r="A714" t="s">
        <v>582</v>
      </c>
      <c r="B714" t="s">
        <v>1519</v>
      </c>
      <c r="C714">
        <v>6</v>
      </c>
      <c r="D714">
        <v>952</v>
      </c>
      <c r="E714" t="s">
        <v>1520</v>
      </c>
    </row>
    <row r="715" spans="1:5" x14ac:dyDescent="0.35">
      <c r="A715" t="s">
        <v>582</v>
      </c>
      <c r="B715" t="s">
        <v>1521</v>
      </c>
      <c r="C715">
        <v>6</v>
      </c>
      <c r="D715">
        <v>953</v>
      </c>
      <c r="E715" t="s">
        <v>1522</v>
      </c>
    </row>
    <row r="716" spans="1:5" x14ac:dyDescent="0.35">
      <c r="A716" t="s">
        <v>582</v>
      </c>
      <c r="B716" t="s">
        <v>1523</v>
      </c>
      <c r="C716">
        <v>6</v>
      </c>
      <c r="D716">
        <v>2276</v>
      </c>
      <c r="E716" t="s">
        <v>1524</v>
      </c>
    </row>
    <row r="717" spans="1:5" x14ac:dyDescent="0.35">
      <c r="A717" t="s">
        <v>582</v>
      </c>
      <c r="B717" t="s">
        <v>1525</v>
      </c>
      <c r="C717">
        <v>6</v>
      </c>
      <c r="D717">
        <v>2277</v>
      </c>
      <c r="E717" t="s">
        <v>1526</v>
      </c>
    </row>
    <row r="718" spans="1:5" x14ac:dyDescent="0.35">
      <c r="A718" t="s">
        <v>579</v>
      </c>
      <c r="B718" t="s">
        <v>1527</v>
      </c>
      <c r="C718">
        <v>3</v>
      </c>
      <c r="D718">
        <v>954</v>
      </c>
      <c r="E718" t="s">
        <v>1528</v>
      </c>
    </row>
    <row r="719" spans="1:5" x14ac:dyDescent="0.35">
      <c r="A719" t="s">
        <v>579</v>
      </c>
      <c r="B719" t="s">
        <v>1529</v>
      </c>
      <c r="C719">
        <v>4</v>
      </c>
      <c r="D719">
        <v>955</v>
      </c>
      <c r="E719" t="s">
        <v>1530</v>
      </c>
    </row>
    <row r="720" spans="1:5" x14ac:dyDescent="0.35">
      <c r="A720" t="s">
        <v>579</v>
      </c>
      <c r="B720" t="s">
        <v>1531</v>
      </c>
      <c r="C720">
        <v>5</v>
      </c>
      <c r="D720">
        <v>956</v>
      </c>
      <c r="E720" t="s">
        <v>1436</v>
      </c>
    </row>
    <row r="721" spans="1:5" x14ac:dyDescent="0.35">
      <c r="A721" t="s">
        <v>582</v>
      </c>
      <c r="B721" t="s">
        <v>1532</v>
      </c>
      <c r="C721">
        <v>6</v>
      </c>
      <c r="D721">
        <v>957</v>
      </c>
      <c r="E721" t="s">
        <v>366</v>
      </c>
    </row>
    <row r="722" spans="1:5" x14ac:dyDescent="0.35">
      <c r="A722" t="s">
        <v>579</v>
      </c>
      <c r="B722" t="s">
        <v>1533</v>
      </c>
      <c r="C722">
        <v>5</v>
      </c>
      <c r="D722">
        <v>958</v>
      </c>
      <c r="E722" t="s">
        <v>1438</v>
      </c>
    </row>
    <row r="723" spans="1:5" x14ac:dyDescent="0.35">
      <c r="A723" t="s">
        <v>582</v>
      </c>
      <c r="B723" t="s">
        <v>1534</v>
      </c>
      <c r="C723">
        <v>6</v>
      </c>
      <c r="D723">
        <v>959</v>
      </c>
      <c r="E723" t="s">
        <v>1438</v>
      </c>
    </row>
    <row r="724" spans="1:5" x14ac:dyDescent="0.35">
      <c r="A724" t="s">
        <v>579</v>
      </c>
      <c r="B724" t="s">
        <v>1535</v>
      </c>
      <c r="C724">
        <v>5</v>
      </c>
      <c r="D724">
        <v>960</v>
      </c>
      <c r="E724" t="s">
        <v>1536</v>
      </c>
    </row>
    <row r="725" spans="1:5" x14ac:dyDescent="0.35">
      <c r="A725" t="s">
        <v>582</v>
      </c>
      <c r="B725" t="s">
        <v>1537</v>
      </c>
      <c r="C725">
        <v>6</v>
      </c>
      <c r="D725">
        <v>961</v>
      </c>
      <c r="E725" t="s">
        <v>1536</v>
      </c>
    </row>
    <row r="726" spans="1:5" x14ac:dyDescent="0.35">
      <c r="A726" t="s">
        <v>579</v>
      </c>
      <c r="B726" t="s">
        <v>1538</v>
      </c>
      <c r="C726">
        <v>4</v>
      </c>
      <c r="D726">
        <v>962</v>
      </c>
      <c r="E726" t="s">
        <v>1539</v>
      </c>
    </row>
    <row r="727" spans="1:5" x14ac:dyDescent="0.35">
      <c r="A727" t="s">
        <v>579</v>
      </c>
      <c r="B727" t="s">
        <v>1540</v>
      </c>
      <c r="C727">
        <v>5</v>
      </c>
      <c r="D727">
        <v>963</v>
      </c>
      <c r="E727" t="s">
        <v>371</v>
      </c>
    </row>
    <row r="728" spans="1:5" x14ac:dyDescent="0.35">
      <c r="A728" t="s">
        <v>582</v>
      </c>
      <c r="B728" t="s">
        <v>1541</v>
      </c>
      <c r="C728">
        <v>6</v>
      </c>
      <c r="D728">
        <v>964</v>
      </c>
      <c r="E728" t="s">
        <v>374</v>
      </c>
    </row>
    <row r="729" spans="1:5" x14ac:dyDescent="0.35">
      <c r="A729" t="s">
        <v>582</v>
      </c>
      <c r="B729" t="s">
        <v>1542</v>
      </c>
      <c r="C729">
        <v>6</v>
      </c>
      <c r="D729">
        <v>965</v>
      </c>
      <c r="E729" t="s">
        <v>1441</v>
      </c>
    </row>
    <row r="730" spans="1:5" x14ac:dyDescent="0.35">
      <c r="A730" t="s">
        <v>582</v>
      </c>
      <c r="B730" t="s">
        <v>1543</v>
      </c>
      <c r="C730">
        <v>6</v>
      </c>
      <c r="D730">
        <v>966</v>
      </c>
      <c r="E730" t="s">
        <v>376</v>
      </c>
    </row>
    <row r="731" spans="1:5" x14ac:dyDescent="0.35">
      <c r="A731" t="s">
        <v>582</v>
      </c>
      <c r="B731" t="s">
        <v>1544</v>
      </c>
      <c r="C731">
        <v>6</v>
      </c>
      <c r="D731">
        <v>967</v>
      </c>
      <c r="E731" t="s">
        <v>378</v>
      </c>
    </row>
    <row r="732" spans="1:5" x14ac:dyDescent="0.35">
      <c r="A732" t="s">
        <v>582</v>
      </c>
      <c r="B732" t="s">
        <v>1545</v>
      </c>
      <c r="C732">
        <v>6</v>
      </c>
      <c r="D732">
        <v>968</v>
      </c>
      <c r="E732" t="s">
        <v>380</v>
      </c>
    </row>
    <row r="733" spans="1:5" x14ac:dyDescent="0.35">
      <c r="A733" t="s">
        <v>579</v>
      </c>
      <c r="B733" t="s">
        <v>1546</v>
      </c>
      <c r="C733">
        <v>5</v>
      </c>
      <c r="D733">
        <v>969</v>
      </c>
      <c r="E733" t="s">
        <v>383</v>
      </c>
    </row>
    <row r="734" spans="1:5" x14ac:dyDescent="0.35">
      <c r="A734" t="s">
        <v>582</v>
      </c>
      <c r="B734" t="s">
        <v>1547</v>
      </c>
      <c r="C734">
        <v>6</v>
      </c>
      <c r="D734">
        <v>970</v>
      </c>
      <c r="E734" t="s">
        <v>1443</v>
      </c>
    </row>
    <row r="735" spans="1:5" x14ac:dyDescent="0.35">
      <c r="A735" t="s">
        <v>582</v>
      </c>
      <c r="B735" t="s">
        <v>1548</v>
      </c>
      <c r="C735">
        <v>6</v>
      </c>
      <c r="D735">
        <v>971</v>
      </c>
      <c r="E735" t="s">
        <v>385</v>
      </c>
    </row>
    <row r="736" spans="1:5" x14ac:dyDescent="0.35">
      <c r="A736" t="s">
        <v>582</v>
      </c>
      <c r="B736" t="s">
        <v>1549</v>
      </c>
      <c r="C736">
        <v>6</v>
      </c>
      <c r="D736">
        <v>972</v>
      </c>
      <c r="E736" t="s">
        <v>1550</v>
      </c>
    </row>
    <row r="737" spans="1:5" x14ac:dyDescent="0.35">
      <c r="A737" t="s">
        <v>582</v>
      </c>
      <c r="B737" t="s">
        <v>1551</v>
      </c>
      <c r="C737">
        <v>6</v>
      </c>
      <c r="D737">
        <v>973</v>
      </c>
      <c r="E737" t="s">
        <v>389</v>
      </c>
    </row>
    <row r="738" spans="1:5" x14ac:dyDescent="0.35">
      <c r="A738" t="s">
        <v>582</v>
      </c>
      <c r="B738" t="s">
        <v>1552</v>
      </c>
      <c r="C738">
        <v>6</v>
      </c>
      <c r="D738">
        <v>974</v>
      </c>
      <c r="E738" t="s">
        <v>1445</v>
      </c>
    </row>
    <row r="739" spans="1:5" x14ac:dyDescent="0.35">
      <c r="A739" t="s">
        <v>582</v>
      </c>
      <c r="B739" t="s">
        <v>1553</v>
      </c>
      <c r="C739">
        <v>6</v>
      </c>
      <c r="D739">
        <v>975</v>
      </c>
      <c r="E739" t="s">
        <v>1447</v>
      </c>
    </row>
    <row r="740" spans="1:5" x14ac:dyDescent="0.35">
      <c r="A740" t="s">
        <v>579</v>
      </c>
      <c r="B740" t="s">
        <v>1554</v>
      </c>
      <c r="C740">
        <v>5</v>
      </c>
      <c r="D740">
        <v>976</v>
      </c>
      <c r="E740" t="s">
        <v>391</v>
      </c>
    </row>
    <row r="741" spans="1:5" x14ac:dyDescent="0.35">
      <c r="A741" t="s">
        <v>582</v>
      </c>
      <c r="B741" t="s">
        <v>1555</v>
      </c>
      <c r="C741">
        <v>6</v>
      </c>
      <c r="D741">
        <v>977</v>
      </c>
      <c r="E741" t="s">
        <v>393</v>
      </c>
    </row>
    <row r="742" spans="1:5" x14ac:dyDescent="0.35">
      <c r="A742" t="s">
        <v>582</v>
      </c>
      <c r="B742" t="s">
        <v>1556</v>
      </c>
      <c r="C742">
        <v>6</v>
      </c>
      <c r="D742">
        <v>978</v>
      </c>
      <c r="E742" t="s">
        <v>1449</v>
      </c>
    </row>
    <row r="743" spans="1:5" x14ac:dyDescent="0.35">
      <c r="A743" t="s">
        <v>582</v>
      </c>
      <c r="B743" t="s">
        <v>1557</v>
      </c>
      <c r="C743">
        <v>6</v>
      </c>
      <c r="D743">
        <v>979</v>
      </c>
      <c r="E743" t="s">
        <v>395</v>
      </c>
    </row>
    <row r="744" spans="1:5" x14ac:dyDescent="0.35">
      <c r="A744" t="s">
        <v>582</v>
      </c>
      <c r="B744" t="s">
        <v>1558</v>
      </c>
      <c r="C744">
        <v>6</v>
      </c>
      <c r="D744">
        <v>980</v>
      </c>
      <c r="E744" t="s">
        <v>397</v>
      </c>
    </row>
    <row r="745" spans="1:5" x14ac:dyDescent="0.35">
      <c r="A745" t="s">
        <v>582</v>
      </c>
      <c r="B745" t="s">
        <v>1559</v>
      </c>
      <c r="C745">
        <v>6</v>
      </c>
      <c r="D745">
        <v>981</v>
      </c>
      <c r="E745" t="s">
        <v>400</v>
      </c>
    </row>
    <row r="746" spans="1:5" x14ac:dyDescent="0.35">
      <c r="A746" t="s">
        <v>579</v>
      </c>
      <c r="B746" t="s">
        <v>1560</v>
      </c>
      <c r="C746">
        <v>5</v>
      </c>
      <c r="D746">
        <v>982</v>
      </c>
      <c r="E746" t="s">
        <v>405</v>
      </c>
    </row>
    <row r="747" spans="1:5" x14ac:dyDescent="0.35">
      <c r="A747" t="s">
        <v>582</v>
      </c>
      <c r="B747" t="s">
        <v>1561</v>
      </c>
      <c r="C747">
        <v>6</v>
      </c>
      <c r="D747">
        <v>983</v>
      </c>
      <c r="E747" t="s">
        <v>1453</v>
      </c>
    </row>
    <row r="748" spans="1:5" x14ac:dyDescent="0.35">
      <c r="A748" t="s">
        <v>582</v>
      </c>
      <c r="B748" t="s">
        <v>1562</v>
      </c>
      <c r="C748">
        <v>6</v>
      </c>
      <c r="D748">
        <v>984</v>
      </c>
      <c r="E748" t="s">
        <v>1455</v>
      </c>
    </row>
    <row r="749" spans="1:5" x14ac:dyDescent="0.35">
      <c r="A749" t="s">
        <v>582</v>
      </c>
      <c r="B749" t="s">
        <v>1563</v>
      </c>
      <c r="C749">
        <v>6</v>
      </c>
      <c r="D749">
        <v>985</v>
      </c>
      <c r="E749" t="s">
        <v>1457</v>
      </c>
    </row>
    <row r="750" spans="1:5" x14ac:dyDescent="0.35">
      <c r="A750" t="s">
        <v>582</v>
      </c>
      <c r="B750" t="s">
        <v>1564</v>
      </c>
      <c r="C750">
        <v>6</v>
      </c>
      <c r="D750">
        <v>986</v>
      </c>
      <c r="E750" t="s">
        <v>407</v>
      </c>
    </row>
    <row r="751" spans="1:5" x14ac:dyDescent="0.35">
      <c r="A751" t="s">
        <v>582</v>
      </c>
      <c r="B751" t="s">
        <v>1565</v>
      </c>
      <c r="C751">
        <v>6</v>
      </c>
      <c r="D751">
        <v>987</v>
      </c>
      <c r="E751" t="s">
        <v>1459</v>
      </c>
    </row>
    <row r="752" spans="1:5" x14ac:dyDescent="0.35">
      <c r="A752" t="s">
        <v>582</v>
      </c>
      <c r="B752" t="s">
        <v>1566</v>
      </c>
      <c r="C752">
        <v>6</v>
      </c>
      <c r="D752">
        <v>988</v>
      </c>
      <c r="E752" t="s">
        <v>409</v>
      </c>
    </row>
    <row r="753" spans="1:5" x14ac:dyDescent="0.35">
      <c r="A753" t="s">
        <v>582</v>
      </c>
      <c r="B753" t="s">
        <v>1567</v>
      </c>
      <c r="C753">
        <v>6</v>
      </c>
      <c r="D753">
        <v>989</v>
      </c>
      <c r="E753" t="s">
        <v>1568</v>
      </c>
    </row>
    <row r="754" spans="1:5" x14ac:dyDescent="0.35">
      <c r="A754" t="s">
        <v>582</v>
      </c>
      <c r="B754" t="s">
        <v>1569</v>
      </c>
      <c r="C754">
        <v>6</v>
      </c>
      <c r="D754">
        <v>990</v>
      </c>
      <c r="E754" t="s">
        <v>1570</v>
      </c>
    </row>
    <row r="755" spans="1:5" x14ac:dyDescent="0.35">
      <c r="A755" t="s">
        <v>582</v>
      </c>
      <c r="B755" t="s">
        <v>1571</v>
      </c>
      <c r="C755">
        <v>6</v>
      </c>
      <c r="D755">
        <v>991</v>
      </c>
      <c r="E755" t="s">
        <v>1467</v>
      </c>
    </row>
    <row r="756" spans="1:5" x14ac:dyDescent="0.35">
      <c r="A756" t="s">
        <v>582</v>
      </c>
      <c r="B756" t="s">
        <v>1572</v>
      </c>
      <c r="C756">
        <v>6</v>
      </c>
      <c r="D756">
        <v>992</v>
      </c>
      <c r="E756" t="s">
        <v>1469</v>
      </c>
    </row>
    <row r="757" spans="1:5" x14ac:dyDescent="0.35">
      <c r="A757" t="s">
        <v>582</v>
      </c>
      <c r="B757" t="s">
        <v>1573</v>
      </c>
      <c r="C757">
        <v>6</v>
      </c>
      <c r="D757">
        <v>993</v>
      </c>
      <c r="E757" t="s">
        <v>1471</v>
      </c>
    </row>
    <row r="758" spans="1:5" x14ac:dyDescent="0.35">
      <c r="A758" t="s">
        <v>582</v>
      </c>
      <c r="B758" t="s">
        <v>1574</v>
      </c>
      <c r="C758">
        <v>6</v>
      </c>
      <c r="D758">
        <v>994</v>
      </c>
      <c r="E758" t="s">
        <v>1473</v>
      </c>
    </row>
    <row r="759" spans="1:5" x14ac:dyDescent="0.35">
      <c r="A759" t="s">
        <v>582</v>
      </c>
      <c r="B759" t="s">
        <v>1575</v>
      </c>
      <c r="C759">
        <v>6</v>
      </c>
      <c r="D759">
        <v>995</v>
      </c>
      <c r="E759" t="s">
        <v>1475</v>
      </c>
    </row>
    <row r="760" spans="1:5" x14ac:dyDescent="0.35">
      <c r="A760" t="s">
        <v>582</v>
      </c>
      <c r="B760" t="s">
        <v>1576</v>
      </c>
      <c r="C760">
        <v>6</v>
      </c>
      <c r="D760">
        <v>996</v>
      </c>
      <c r="E760" t="s">
        <v>1477</v>
      </c>
    </row>
    <row r="761" spans="1:5" x14ac:dyDescent="0.35">
      <c r="A761" t="s">
        <v>582</v>
      </c>
      <c r="B761" t="s">
        <v>1577</v>
      </c>
      <c r="C761">
        <v>6</v>
      </c>
      <c r="D761">
        <v>997</v>
      </c>
      <c r="E761" t="s">
        <v>1479</v>
      </c>
    </row>
    <row r="762" spans="1:5" x14ac:dyDescent="0.35">
      <c r="A762" t="s">
        <v>582</v>
      </c>
      <c r="B762" t="s">
        <v>1578</v>
      </c>
      <c r="C762">
        <v>6</v>
      </c>
      <c r="D762">
        <v>998</v>
      </c>
      <c r="E762" t="s">
        <v>1481</v>
      </c>
    </row>
    <row r="763" spans="1:5" x14ac:dyDescent="0.35">
      <c r="A763" t="s">
        <v>582</v>
      </c>
      <c r="B763" t="s">
        <v>1579</v>
      </c>
      <c r="C763">
        <v>6</v>
      </c>
      <c r="D763">
        <v>999</v>
      </c>
      <c r="E763" t="s">
        <v>1483</v>
      </c>
    </row>
    <row r="764" spans="1:5" x14ac:dyDescent="0.35">
      <c r="A764" t="s">
        <v>582</v>
      </c>
      <c r="B764" t="s">
        <v>1580</v>
      </c>
      <c r="C764">
        <v>6</v>
      </c>
      <c r="D764">
        <v>1000</v>
      </c>
      <c r="E764" t="s">
        <v>1485</v>
      </c>
    </row>
    <row r="765" spans="1:5" x14ac:dyDescent="0.35">
      <c r="A765" t="s">
        <v>582</v>
      </c>
      <c r="B765" t="s">
        <v>1581</v>
      </c>
      <c r="C765">
        <v>6</v>
      </c>
      <c r="D765">
        <v>1001</v>
      </c>
      <c r="E765" t="s">
        <v>1487</v>
      </c>
    </row>
    <row r="766" spans="1:5" x14ac:dyDescent="0.35">
      <c r="A766" t="s">
        <v>582</v>
      </c>
      <c r="B766" t="s">
        <v>1582</v>
      </c>
      <c r="C766">
        <v>6</v>
      </c>
      <c r="D766">
        <v>1002</v>
      </c>
      <c r="E766" t="s">
        <v>1489</v>
      </c>
    </row>
    <row r="767" spans="1:5" x14ac:dyDescent="0.35">
      <c r="A767" t="s">
        <v>582</v>
      </c>
      <c r="B767" t="s">
        <v>1583</v>
      </c>
      <c r="C767">
        <v>6</v>
      </c>
      <c r="D767">
        <v>1909</v>
      </c>
      <c r="E767" t="s">
        <v>1584</v>
      </c>
    </row>
    <row r="768" spans="1:5" x14ac:dyDescent="0.35">
      <c r="A768" t="s">
        <v>582</v>
      </c>
      <c r="B768" t="s">
        <v>1585</v>
      </c>
      <c r="C768">
        <v>6</v>
      </c>
      <c r="D768">
        <v>1965</v>
      </c>
      <c r="E768" t="s">
        <v>1493</v>
      </c>
    </row>
    <row r="769" spans="1:5" x14ac:dyDescent="0.35">
      <c r="A769" t="s">
        <v>582</v>
      </c>
      <c r="B769" t="s">
        <v>1586</v>
      </c>
      <c r="C769">
        <v>6</v>
      </c>
      <c r="D769">
        <v>2206</v>
      </c>
      <c r="E769" t="s">
        <v>1499</v>
      </c>
    </row>
    <row r="770" spans="1:5" x14ac:dyDescent="0.35">
      <c r="A770" t="s">
        <v>579</v>
      </c>
      <c r="B770" t="s">
        <v>1587</v>
      </c>
      <c r="C770">
        <v>5</v>
      </c>
      <c r="D770">
        <v>1003</v>
      </c>
      <c r="E770" t="s">
        <v>411</v>
      </c>
    </row>
    <row r="771" spans="1:5" x14ac:dyDescent="0.35">
      <c r="A771" t="s">
        <v>582</v>
      </c>
      <c r="B771" t="s">
        <v>1588</v>
      </c>
      <c r="C771">
        <v>6</v>
      </c>
      <c r="D771">
        <v>1004</v>
      </c>
      <c r="E771" t="s">
        <v>1502</v>
      </c>
    </row>
    <row r="772" spans="1:5" x14ac:dyDescent="0.35">
      <c r="A772" t="s">
        <v>582</v>
      </c>
      <c r="B772" t="s">
        <v>1589</v>
      </c>
      <c r="C772">
        <v>6</v>
      </c>
      <c r="D772">
        <v>1005</v>
      </c>
      <c r="E772" t="s">
        <v>417</v>
      </c>
    </row>
    <row r="773" spans="1:5" x14ac:dyDescent="0.35">
      <c r="A773" t="s">
        <v>582</v>
      </c>
      <c r="B773" t="s">
        <v>1590</v>
      </c>
      <c r="C773">
        <v>6</v>
      </c>
      <c r="D773">
        <v>1006</v>
      </c>
      <c r="E773" t="s">
        <v>1503</v>
      </c>
    </row>
    <row r="774" spans="1:5" x14ac:dyDescent="0.35">
      <c r="A774" t="s">
        <v>582</v>
      </c>
      <c r="B774" t="s">
        <v>1591</v>
      </c>
      <c r="C774">
        <v>6</v>
      </c>
      <c r="D774">
        <v>2034</v>
      </c>
      <c r="E774" t="s">
        <v>1592</v>
      </c>
    </row>
    <row r="775" spans="1:5" x14ac:dyDescent="0.35">
      <c r="A775" t="s">
        <v>582</v>
      </c>
      <c r="B775" t="s">
        <v>1593</v>
      </c>
      <c r="C775">
        <v>6</v>
      </c>
      <c r="D775">
        <v>2101</v>
      </c>
      <c r="E775" t="s">
        <v>1506</v>
      </c>
    </row>
    <row r="776" spans="1:5" x14ac:dyDescent="0.35">
      <c r="A776" t="s">
        <v>582</v>
      </c>
      <c r="B776" t="s">
        <v>1594</v>
      </c>
      <c r="C776">
        <v>6</v>
      </c>
      <c r="D776">
        <v>2110</v>
      </c>
      <c r="E776" t="s">
        <v>1508</v>
      </c>
    </row>
    <row r="777" spans="1:5" x14ac:dyDescent="0.35">
      <c r="A777" t="s">
        <v>579</v>
      </c>
      <c r="B777" t="s">
        <v>1595</v>
      </c>
      <c r="C777">
        <v>5</v>
      </c>
      <c r="D777">
        <v>1007</v>
      </c>
      <c r="E777" t="s">
        <v>1510</v>
      </c>
    </row>
    <row r="778" spans="1:5" x14ac:dyDescent="0.35">
      <c r="A778" t="s">
        <v>582</v>
      </c>
      <c r="B778" t="s">
        <v>1596</v>
      </c>
      <c r="C778">
        <v>6</v>
      </c>
      <c r="D778">
        <v>1008</v>
      </c>
      <c r="E778" t="s">
        <v>1512</v>
      </c>
    </row>
    <row r="779" spans="1:5" x14ac:dyDescent="0.35">
      <c r="A779" t="s">
        <v>579</v>
      </c>
      <c r="B779" t="s">
        <v>1597</v>
      </c>
      <c r="C779">
        <v>4</v>
      </c>
      <c r="D779">
        <v>1009</v>
      </c>
      <c r="E779" t="s">
        <v>1598</v>
      </c>
    </row>
    <row r="780" spans="1:5" x14ac:dyDescent="0.35">
      <c r="A780" t="s">
        <v>579</v>
      </c>
      <c r="B780" t="s">
        <v>1599</v>
      </c>
      <c r="C780">
        <v>5</v>
      </c>
      <c r="D780">
        <v>1010</v>
      </c>
      <c r="E780" t="s">
        <v>1518</v>
      </c>
    </row>
    <row r="781" spans="1:5" x14ac:dyDescent="0.35">
      <c r="A781" t="s">
        <v>582</v>
      </c>
      <c r="B781" t="s">
        <v>1600</v>
      </c>
      <c r="C781">
        <v>6</v>
      </c>
      <c r="D781">
        <v>1011</v>
      </c>
      <c r="E781" t="s">
        <v>1601</v>
      </c>
    </row>
    <row r="782" spans="1:5" x14ac:dyDescent="0.35">
      <c r="A782" t="s">
        <v>582</v>
      </c>
      <c r="B782" t="s">
        <v>1602</v>
      </c>
      <c r="C782">
        <v>6</v>
      </c>
      <c r="D782">
        <v>1012</v>
      </c>
      <c r="E782" t="s">
        <v>1603</v>
      </c>
    </row>
    <row r="783" spans="1:5" x14ac:dyDescent="0.35">
      <c r="A783" t="s">
        <v>579</v>
      </c>
      <c r="B783" t="s">
        <v>1604</v>
      </c>
      <c r="C783">
        <v>3</v>
      </c>
      <c r="D783">
        <v>1013</v>
      </c>
      <c r="E783" t="s">
        <v>1605</v>
      </c>
    </row>
    <row r="784" spans="1:5" x14ac:dyDescent="0.35">
      <c r="A784" t="s">
        <v>579</v>
      </c>
      <c r="B784" t="s">
        <v>1606</v>
      </c>
      <c r="C784">
        <v>4</v>
      </c>
      <c r="D784">
        <v>1014</v>
      </c>
      <c r="E784" t="s">
        <v>1607</v>
      </c>
    </row>
    <row r="785" spans="1:5" x14ac:dyDescent="0.35">
      <c r="A785" t="s">
        <v>579</v>
      </c>
      <c r="B785" t="s">
        <v>1608</v>
      </c>
      <c r="C785">
        <v>5</v>
      </c>
      <c r="D785">
        <v>1015</v>
      </c>
      <c r="E785" t="s">
        <v>1436</v>
      </c>
    </row>
    <row r="786" spans="1:5" x14ac:dyDescent="0.35">
      <c r="A786" t="s">
        <v>582</v>
      </c>
      <c r="B786" t="s">
        <v>1609</v>
      </c>
      <c r="C786">
        <v>6</v>
      </c>
      <c r="D786">
        <v>1016</v>
      </c>
      <c r="E786" t="s">
        <v>366</v>
      </c>
    </row>
    <row r="787" spans="1:5" x14ac:dyDescent="0.35">
      <c r="A787" t="s">
        <v>579</v>
      </c>
      <c r="B787" t="s">
        <v>1610</v>
      </c>
      <c r="C787">
        <v>5</v>
      </c>
      <c r="D787">
        <v>1017</v>
      </c>
      <c r="E787" t="s">
        <v>1438</v>
      </c>
    </row>
    <row r="788" spans="1:5" x14ac:dyDescent="0.35">
      <c r="A788" t="s">
        <v>582</v>
      </c>
      <c r="B788" t="s">
        <v>1611</v>
      </c>
      <c r="C788">
        <v>6</v>
      </c>
      <c r="D788">
        <v>1018</v>
      </c>
      <c r="E788" t="s">
        <v>1438</v>
      </c>
    </row>
    <row r="789" spans="1:5" x14ac:dyDescent="0.35">
      <c r="A789" t="s">
        <v>579</v>
      </c>
      <c r="B789" t="s">
        <v>1612</v>
      </c>
      <c r="C789">
        <v>5</v>
      </c>
      <c r="D789">
        <v>1019</v>
      </c>
      <c r="E789" t="s">
        <v>1536</v>
      </c>
    </row>
    <row r="790" spans="1:5" x14ac:dyDescent="0.35">
      <c r="A790" t="s">
        <v>582</v>
      </c>
      <c r="B790" t="s">
        <v>1613</v>
      </c>
      <c r="C790">
        <v>6</v>
      </c>
      <c r="D790">
        <v>1020</v>
      </c>
      <c r="E790" t="s">
        <v>1536</v>
      </c>
    </row>
    <row r="791" spans="1:5" x14ac:dyDescent="0.35">
      <c r="A791" t="s">
        <v>579</v>
      </c>
      <c r="B791" t="s">
        <v>1614</v>
      </c>
      <c r="C791">
        <v>5</v>
      </c>
      <c r="D791">
        <v>1021</v>
      </c>
      <c r="E791" t="s">
        <v>1615</v>
      </c>
    </row>
    <row r="792" spans="1:5" x14ac:dyDescent="0.35">
      <c r="A792" t="s">
        <v>582</v>
      </c>
      <c r="B792" t="s">
        <v>1616</v>
      </c>
      <c r="C792">
        <v>6</v>
      </c>
      <c r="D792">
        <v>1022</v>
      </c>
      <c r="E792" t="s">
        <v>1615</v>
      </c>
    </row>
    <row r="793" spans="1:5" x14ac:dyDescent="0.35">
      <c r="A793" t="s">
        <v>579</v>
      </c>
      <c r="B793" t="s">
        <v>1617</v>
      </c>
      <c r="C793">
        <v>4</v>
      </c>
      <c r="D793">
        <v>1023</v>
      </c>
      <c r="E793" t="s">
        <v>1618</v>
      </c>
    </row>
    <row r="794" spans="1:5" x14ac:dyDescent="0.35">
      <c r="A794" t="s">
        <v>579</v>
      </c>
      <c r="B794" t="s">
        <v>1619</v>
      </c>
      <c r="C794">
        <v>5</v>
      </c>
      <c r="D794">
        <v>1024</v>
      </c>
      <c r="E794" t="s">
        <v>371</v>
      </c>
    </row>
    <row r="795" spans="1:5" x14ac:dyDescent="0.35">
      <c r="A795" t="s">
        <v>582</v>
      </c>
      <c r="B795" t="s">
        <v>1620</v>
      </c>
      <c r="C795">
        <v>6</v>
      </c>
      <c r="D795">
        <v>1025</v>
      </c>
      <c r="E795" t="s">
        <v>374</v>
      </c>
    </row>
    <row r="796" spans="1:5" x14ac:dyDescent="0.35">
      <c r="A796" t="s">
        <v>582</v>
      </c>
      <c r="B796" t="s">
        <v>1621</v>
      </c>
      <c r="C796">
        <v>6</v>
      </c>
      <c r="D796">
        <v>1026</v>
      </c>
      <c r="E796" t="s">
        <v>1441</v>
      </c>
    </row>
    <row r="797" spans="1:5" x14ac:dyDescent="0.35">
      <c r="A797" t="s">
        <v>582</v>
      </c>
      <c r="B797" t="s">
        <v>1622</v>
      </c>
      <c r="C797">
        <v>6</v>
      </c>
      <c r="D797">
        <v>1027</v>
      </c>
      <c r="E797" t="s">
        <v>376</v>
      </c>
    </row>
    <row r="798" spans="1:5" x14ac:dyDescent="0.35">
      <c r="A798" t="s">
        <v>582</v>
      </c>
      <c r="B798" t="s">
        <v>1623</v>
      </c>
      <c r="C798">
        <v>6</v>
      </c>
      <c r="D798">
        <v>1028</v>
      </c>
      <c r="E798" t="s">
        <v>378</v>
      </c>
    </row>
    <row r="799" spans="1:5" x14ac:dyDescent="0.35">
      <c r="A799" t="s">
        <v>582</v>
      </c>
      <c r="B799" t="s">
        <v>1624</v>
      </c>
      <c r="C799">
        <v>6</v>
      </c>
      <c r="D799">
        <v>1029</v>
      </c>
      <c r="E799" t="s">
        <v>380</v>
      </c>
    </row>
    <row r="800" spans="1:5" x14ac:dyDescent="0.35">
      <c r="A800" t="s">
        <v>579</v>
      </c>
      <c r="B800" t="s">
        <v>1625</v>
      </c>
      <c r="C800">
        <v>5</v>
      </c>
      <c r="D800">
        <v>1030</v>
      </c>
      <c r="E800" t="s">
        <v>383</v>
      </c>
    </row>
    <row r="801" spans="1:5" x14ac:dyDescent="0.35">
      <c r="A801" t="s">
        <v>582</v>
      </c>
      <c r="B801" t="s">
        <v>1626</v>
      </c>
      <c r="C801">
        <v>6</v>
      </c>
      <c r="D801">
        <v>1031</v>
      </c>
      <c r="E801" t="s">
        <v>1443</v>
      </c>
    </row>
    <row r="802" spans="1:5" x14ac:dyDescent="0.35">
      <c r="A802" t="s">
        <v>582</v>
      </c>
      <c r="B802" t="s">
        <v>1627</v>
      </c>
      <c r="C802">
        <v>6</v>
      </c>
      <c r="D802">
        <v>1032</v>
      </c>
      <c r="E802" t="s">
        <v>385</v>
      </c>
    </row>
    <row r="803" spans="1:5" x14ac:dyDescent="0.35">
      <c r="A803" t="s">
        <v>582</v>
      </c>
      <c r="B803" t="s">
        <v>1628</v>
      </c>
      <c r="C803">
        <v>6</v>
      </c>
      <c r="D803">
        <v>1033</v>
      </c>
      <c r="E803" t="s">
        <v>1550</v>
      </c>
    </row>
    <row r="804" spans="1:5" x14ac:dyDescent="0.35">
      <c r="A804" t="s">
        <v>582</v>
      </c>
      <c r="B804" t="s">
        <v>1629</v>
      </c>
      <c r="C804">
        <v>6</v>
      </c>
      <c r="D804">
        <v>1034</v>
      </c>
      <c r="E804" t="s">
        <v>389</v>
      </c>
    </row>
    <row r="805" spans="1:5" x14ac:dyDescent="0.35">
      <c r="A805" t="s">
        <v>582</v>
      </c>
      <c r="B805" t="s">
        <v>1630</v>
      </c>
      <c r="C805">
        <v>6</v>
      </c>
      <c r="D805">
        <v>1035</v>
      </c>
      <c r="E805" t="s">
        <v>1445</v>
      </c>
    </row>
    <row r="806" spans="1:5" x14ac:dyDescent="0.35">
      <c r="A806" t="s">
        <v>582</v>
      </c>
      <c r="B806" t="s">
        <v>1631</v>
      </c>
      <c r="C806">
        <v>6</v>
      </c>
      <c r="D806">
        <v>1036</v>
      </c>
      <c r="E806" t="s">
        <v>1447</v>
      </c>
    </row>
    <row r="807" spans="1:5" x14ac:dyDescent="0.35">
      <c r="A807" t="s">
        <v>579</v>
      </c>
      <c r="B807" t="s">
        <v>1632</v>
      </c>
      <c r="C807">
        <v>5</v>
      </c>
      <c r="D807">
        <v>1037</v>
      </c>
      <c r="E807" t="s">
        <v>391</v>
      </c>
    </row>
    <row r="808" spans="1:5" x14ac:dyDescent="0.35">
      <c r="A808" t="s">
        <v>582</v>
      </c>
      <c r="B808" t="s">
        <v>1633</v>
      </c>
      <c r="C808">
        <v>6</v>
      </c>
      <c r="D808">
        <v>1038</v>
      </c>
      <c r="E808" t="s">
        <v>393</v>
      </c>
    </row>
    <row r="809" spans="1:5" x14ac:dyDescent="0.35">
      <c r="A809" t="s">
        <v>582</v>
      </c>
      <c r="B809" t="s">
        <v>1634</v>
      </c>
      <c r="C809">
        <v>6</v>
      </c>
      <c r="D809">
        <v>1039</v>
      </c>
      <c r="E809" t="s">
        <v>1449</v>
      </c>
    </row>
    <row r="810" spans="1:5" x14ac:dyDescent="0.35">
      <c r="A810" t="s">
        <v>582</v>
      </c>
      <c r="B810" t="s">
        <v>1635</v>
      </c>
      <c r="C810">
        <v>6</v>
      </c>
      <c r="D810">
        <v>1040</v>
      </c>
      <c r="E810" t="s">
        <v>395</v>
      </c>
    </row>
    <row r="811" spans="1:5" x14ac:dyDescent="0.35">
      <c r="A811" t="s">
        <v>582</v>
      </c>
      <c r="B811" t="s">
        <v>1636</v>
      </c>
      <c r="C811">
        <v>6</v>
      </c>
      <c r="D811">
        <v>1041</v>
      </c>
      <c r="E811" t="s">
        <v>397</v>
      </c>
    </row>
    <row r="812" spans="1:5" x14ac:dyDescent="0.35">
      <c r="A812" t="s">
        <v>582</v>
      </c>
      <c r="B812" t="s">
        <v>1637</v>
      </c>
      <c r="C812">
        <v>6</v>
      </c>
      <c r="D812">
        <v>1042</v>
      </c>
      <c r="E812" t="s">
        <v>400</v>
      </c>
    </row>
    <row r="813" spans="1:5" x14ac:dyDescent="0.35">
      <c r="A813" t="s">
        <v>579</v>
      </c>
      <c r="B813" t="s">
        <v>1638</v>
      </c>
      <c r="C813">
        <v>5</v>
      </c>
      <c r="D813">
        <v>1043</v>
      </c>
      <c r="E813" t="s">
        <v>405</v>
      </c>
    </row>
    <row r="814" spans="1:5" x14ac:dyDescent="0.35">
      <c r="A814" t="s">
        <v>582</v>
      </c>
      <c r="B814" t="s">
        <v>1639</v>
      </c>
      <c r="C814">
        <v>6</v>
      </c>
      <c r="D814">
        <v>1044</v>
      </c>
      <c r="E814" t="s">
        <v>1453</v>
      </c>
    </row>
    <row r="815" spans="1:5" x14ac:dyDescent="0.35">
      <c r="A815" t="s">
        <v>582</v>
      </c>
      <c r="B815" t="s">
        <v>1640</v>
      </c>
      <c r="C815">
        <v>6</v>
      </c>
      <c r="D815">
        <v>1045</v>
      </c>
      <c r="E815" t="s">
        <v>1455</v>
      </c>
    </row>
    <row r="816" spans="1:5" x14ac:dyDescent="0.35">
      <c r="A816" t="s">
        <v>582</v>
      </c>
      <c r="B816" t="s">
        <v>1641</v>
      </c>
      <c r="C816">
        <v>6</v>
      </c>
      <c r="D816">
        <v>1046</v>
      </c>
      <c r="E816" t="s">
        <v>1457</v>
      </c>
    </row>
    <row r="817" spans="1:5" x14ac:dyDescent="0.35">
      <c r="A817" t="s">
        <v>582</v>
      </c>
      <c r="B817" t="s">
        <v>1642</v>
      </c>
      <c r="C817">
        <v>6</v>
      </c>
      <c r="D817">
        <v>1047</v>
      </c>
      <c r="E817" t="s">
        <v>407</v>
      </c>
    </row>
    <row r="818" spans="1:5" x14ac:dyDescent="0.35">
      <c r="A818" t="s">
        <v>582</v>
      </c>
      <c r="B818" t="s">
        <v>1643</v>
      </c>
      <c r="C818">
        <v>6</v>
      </c>
      <c r="D818">
        <v>1048</v>
      </c>
      <c r="E818" t="s">
        <v>1459</v>
      </c>
    </row>
    <row r="819" spans="1:5" x14ac:dyDescent="0.35">
      <c r="A819" t="s">
        <v>582</v>
      </c>
      <c r="B819" t="s">
        <v>1644</v>
      </c>
      <c r="C819">
        <v>6</v>
      </c>
      <c r="D819">
        <v>1049</v>
      </c>
      <c r="E819" t="s">
        <v>409</v>
      </c>
    </row>
    <row r="820" spans="1:5" x14ac:dyDescent="0.35">
      <c r="A820" t="s">
        <v>582</v>
      </c>
      <c r="B820" t="s">
        <v>1645</v>
      </c>
      <c r="C820">
        <v>6</v>
      </c>
      <c r="D820">
        <v>1050</v>
      </c>
      <c r="E820" t="s">
        <v>1568</v>
      </c>
    </row>
    <row r="821" spans="1:5" x14ac:dyDescent="0.35">
      <c r="A821" t="s">
        <v>582</v>
      </c>
      <c r="B821" t="s">
        <v>1646</v>
      </c>
      <c r="C821">
        <v>6</v>
      </c>
      <c r="D821">
        <v>1051</v>
      </c>
      <c r="E821" t="s">
        <v>1570</v>
      </c>
    </row>
    <row r="822" spans="1:5" x14ac:dyDescent="0.35">
      <c r="A822" t="s">
        <v>582</v>
      </c>
      <c r="B822" t="s">
        <v>1647</v>
      </c>
      <c r="C822">
        <v>6</v>
      </c>
      <c r="D822">
        <v>1052</v>
      </c>
      <c r="E822" t="s">
        <v>1467</v>
      </c>
    </row>
    <row r="823" spans="1:5" x14ac:dyDescent="0.35">
      <c r="A823" t="s">
        <v>582</v>
      </c>
      <c r="B823" t="s">
        <v>1648</v>
      </c>
      <c r="C823">
        <v>6</v>
      </c>
      <c r="D823">
        <v>1053</v>
      </c>
      <c r="E823" t="s">
        <v>1469</v>
      </c>
    </row>
    <row r="824" spans="1:5" x14ac:dyDescent="0.35">
      <c r="A824" t="s">
        <v>582</v>
      </c>
      <c r="B824" t="s">
        <v>1649</v>
      </c>
      <c r="C824">
        <v>6</v>
      </c>
      <c r="D824">
        <v>1054</v>
      </c>
      <c r="E824" t="s">
        <v>1471</v>
      </c>
    </row>
    <row r="825" spans="1:5" x14ac:dyDescent="0.35">
      <c r="A825" t="s">
        <v>582</v>
      </c>
      <c r="B825" t="s">
        <v>1650</v>
      </c>
      <c r="C825">
        <v>6</v>
      </c>
      <c r="D825">
        <v>1055</v>
      </c>
      <c r="E825" t="s">
        <v>1473</v>
      </c>
    </row>
    <row r="826" spans="1:5" x14ac:dyDescent="0.35">
      <c r="A826" t="s">
        <v>582</v>
      </c>
      <c r="B826" t="s">
        <v>1651</v>
      </c>
      <c r="C826">
        <v>6</v>
      </c>
      <c r="D826">
        <v>1056</v>
      </c>
      <c r="E826" t="s">
        <v>1475</v>
      </c>
    </row>
    <row r="827" spans="1:5" x14ac:dyDescent="0.35">
      <c r="A827" t="s">
        <v>582</v>
      </c>
      <c r="B827" t="s">
        <v>1652</v>
      </c>
      <c r="C827">
        <v>6</v>
      </c>
      <c r="D827">
        <v>1057</v>
      </c>
      <c r="E827" t="s">
        <v>1477</v>
      </c>
    </row>
    <row r="828" spans="1:5" x14ac:dyDescent="0.35">
      <c r="A828" t="s">
        <v>582</v>
      </c>
      <c r="B828" t="s">
        <v>1653</v>
      </c>
      <c r="C828">
        <v>6</v>
      </c>
      <c r="D828">
        <v>1058</v>
      </c>
      <c r="E828" t="s">
        <v>1479</v>
      </c>
    </row>
    <row r="829" spans="1:5" x14ac:dyDescent="0.35">
      <c r="A829" t="s">
        <v>582</v>
      </c>
      <c r="B829" t="s">
        <v>1654</v>
      </c>
      <c r="C829">
        <v>6</v>
      </c>
      <c r="D829">
        <v>1059</v>
      </c>
      <c r="E829" t="s">
        <v>1481</v>
      </c>
    </row>
    <row r="830" spans="1:5" x14ac:dyDescent="0.35">
      <c r="A830" t="s">
        <v>582</v>
      </c>
      <c r="B830" t="s">
        <v>1655</v>
      </c>
      <c r="C830">
        <v>6</v>
      </c>
      <c r="D830">
        <v>1060</v>
      </c>
      <c r="E830" t="s">
        <v>1483</v>
      </c>
    </row>
    <row r="831" spans="1:5" x14ac:dyDescent="0.35">
      <c r="A831" t="s">
        <v>582</v>
      </c>
      <c r="B831" t="s">
        <v>1656</v>
      </c>
      <c r="C831">
        <v>6</v>
      </c>
      <c r="D831">
        <v>1061</v>
      </c>
      <c r="E831" t="s">
        <v>1485</v>
      </c>
    </row>
    <row r="832" spans="1:5" x14ac:dyDescent="0.35">
      <c r="A832" t="s">
        <v>582</v>
      </c>
      <c r="B832" t="s">
        <v>1657</v>
      </c>
      <c r="C832">
        <v>6</v>
      </c>
      <c r="D832">
        <v>1062</v>
      </c>
      <c r="E832" t="s">
        <v>1487</v>
      </c>
    </row>
    <row r="833" spans="1:5" x14ac:dyDescent="0.35">
      <c r="A833" t="s">
        <v>582</v>
      </c>
      <c r="B833" t="s">
        <v>1658</v>
      </c>
      <c r="C833">
        <v>6</v>
      </c>
      <c r="D833">
        <v>1063</v>
      </c>
      <c r="E833" t="s">
        <v>1659</v>
      </c>
    </row>
    <row r="834" spans="1:5" x14ac:dyDescent="0.35">
      <c r="A834" t="s">
        <v>582</v>
      </c>
      <c r="B834" t="s">
        <v>1660</v>
      </c>
      <c r="C834">
        <v>6</v>
      </c>
      <c r="D834">
        <v>1064</v>
      </c>
      <c r="E834" t="s">
        <v>1489</v>
      </c>
    </row>
    <row r="835" spans="1:5" x14ac:dyDescent="0.35">
      <c r="A835" t="s">
        <v>582</v>
      </c>
      <c r="B835" t="s">
        <v>1661</v>
      </c>
      <c r="C835">
        <v>6</v>
      </c>
      <c r="D835">
        <v>1920</v>
      </c>
      <c r="E835" t="s">
        <v>1662</v>
      </c>
    </row>
    <row r="836" spans="1:5" x14ac:dyDescent="0.35">
      <c r="A836" t="s">
        <v>582</v>
      </c>
      <c r="B836" t="s">
        <v>1663</v>
      </c>
      <c r="C836">
        <v>6</v>
      </c>
      <c r="D836">
        <v>1966</v>
      </c>
      <c r="E836" t="s">
        <v>1493</v>
      </c>
    </row>
    <row r="837" spans="1:5" x14ac:dyDescent="0.35">
      <c r="A837" t="s">
        <v>579</v>
      </c>
      <c r="B837" t="s">
        <v>1664</v>
      </c>
      <c r="C837">
        <v>5</v>
      </c>
      <c r="D837">
        <v>1065</v>
      </c>
      <c r="E837" t="s">
        <v>411</v>
      </c>
    </row>
    <row r="838" spans="1:5" x14ac:dyDescent="0.35">
      <c r="A838" t="s">
        <v>582</v>
      </c>
      <c r="B838" t="s">
        <v>1665</v>
      </c>
      <c r="C838">
        <v>6</v>
      </c>
      <c r="D838">
        <v>1066</v>
      </c>
      <c r="E838" t="s">
        <v>1502</v>
      </c>
    </row>
    <row r="839" spans="1:5" x14ac:dyDescent="0.35">
      <c r="A839" t="s">
        <v>582</v>
      </c>
      <c r="B839" t="s">
        <v>1666</v>
      </c>
      <c r="C839">
        <v>6</v>
      </c>
      <c r="D839">
        <v>1067</v>
      </c>
      <c r="E839" t="s">
        <v>417</v>
      </c>
    </row>
    <row r="840" spans="1:5" x14ac:dyDescent="0.35">
      <c r="A840" t="s">
        <v>582</v>
      </c>
      <c r="B840" t="s">
        <v>1667</v>
      </c>
      <c r="C840">
        <v>6</v>
      </c>
      <c r="D840">
        <v>1068</v>
      </c>
      <c r="E840" t="s">
        <v>1503</v>
      </c>
    </row>
    <row r="841" spans="1:5" x14ac:dyDescent="0.35">
      <c r="A841" t="s">
        <v>582</v>
      </c>
      <c r="B841" t="s">
        <v>1668</v>
      </c>
      <c r="C841">
        <v>6</v>
      </c>
      <c r="D841">
        <v>2035</v>
      </c>
      <c r="E841" t="s">
        <v>1669</v>
      </c>
    </row>
    <row r="842" spans="1:5" x14ac:dyDescent="0.35">
      <c r="A842" t="s">
        <v>582</v>
      </c>
      <c r="B842" t="s">
        <v>1670</v>
      </c>
      <c r="C842">
        <v>6</v>
      </c>
      <c r="D842">
        <v>2102</v>
      </c>
      <c r="E842" t="s">
        <v>1506</v>
      </c>
    </row>
    <row r="843" spans="1:5" x14ac:dyDescent="0.35">
      <c r="A843" t="s">
        <v>582</v>
      </c>
      <c r="B843" t="s">
        <v>1671</v>
      </c>
      <c r="C843">
        <v>6</v>
      </c>
      <c r="D843">
        <v>2111</v>
      </c>
      <c r="E843" t="s">
        <v>1508</v>
      </c>
    </row>
    <row r="844" spans="1:5" x14ac:dyDescent="0.35">
      <c r="A844" t="s">
        <v>579</v>
      </c>
      <c r="B844" t="s">
        <v>1672</v>
      </c>
      <c r="C844">
        <v>5</v>
      </c>
      <c r="D844">
        <v>1069</v>
      </c>
      <c r="E844" t="s">
        <v>1510</v>
      </c>
    </row>
    <row r="845" spans="1:5" x14ac:dyDescent="0.35">
      <c r="A845" t="s">
        <v>582</v>
      </c>
      <c r="B845" t="s">
        <v>1673</v>
      </c>
      <c r="C845">
        <v>6</v>
      </c>
      <c r="D845">
        <v>1070</v>
      </c>
      <c r="E845" t="s">
        <v>1512</v>
      </c>
    </row>
    <row r="846" spans="1:5" x14ac:dyDescent="0.35">
      <c r="A846" t="s">
        <v>579</v>
      </c>
      <c r="B846" t="s">
        <v>1674</v>
      </c>
      <c r="C846">
        <v>4</v>
      </c>
      <c r="D846">
        <v>1071</v>
      </c>
      <c r="E846" t="s">
        <v>1675</v>
      </c>
    </row>
    <row r="847" spans="1:5" x14ac:dyDescent="0.35">
      <c r="A847" t="s">
        <v>579</v>
      </c>
      <c r="B847" t="s">
        <v>1676</v>
      </c>
      <c r="C847">
        <v>5</v>
      </c>
      <c r="D847">
        <v>1072</v>
      </c>
      <c r="E847" t="s">
        <v>1518</v>
      </c>
    </row>
    <row r="848" spans="1:5" x14ac:dyDescent="0.35">
      <c r="A848" t="s">
        <v>582</v>
      </c>
      <c r="B848" t="s">
        <v>1677</v>
      </c>
      <c r="C848">
        <v>6</v>
      </c>
      <c r="D848">
        <v>1073</v>
      </c>
      <c r="E848" t="s">
        <v>1678</v>
      </c>
    </row>
    <row r="849" spans="1:5" x14ac:dyDescent="0.35">
      <c r="A849" t="s">
        <v>582</v>
      </c>
      <c r="B849" t="s">
        <v>1679</v>
      </c>
      <c r="C849">
        <v>6</v>
      </c>
      <c r="D849">
        <v>1074</v>
      </c>
      <c r="E849" t="s">
        <v>1680</v>
      </c>
    </row>
    <row r="850" spans="1:5" x14ac:dyDescent="0.35">
      <c r="A850" t="s">
        <v>579</v>
      </c>
      <c r="B850" t="s">
        <v>424</v>
      </c>
      <c r="C850">
        <v>2</v>
      </c>
      <c r="D850">
        <v>1075</v>
      </c>
      <c r="E850" t="s">
        <v>425</v>
      </c>
    </row>
    <row r="851" spans="1:5" x14ac:dyDescent="0.35">
      <c r="A851" t="s">
        <v>579</v>
      </c>
      <c r="B851" t="s">
        <v>426</v>
      </c>
      <c r="C851">
        <v>3</v>
      </c>
      <c r="D851">
        <v>1076</v>
      </c>
      <c r="E851" t="s">
        <v>427</v>
      </c>
    </row>
    <row r="852" spans="1:5" x14ac:dyDescent="0.35">
      <c r="A852" t="s">
        <v>579</v>
      </c>
      <c r="B852" t="s">
        <v>1681</v>
      </c>
      <c r="C852">
        <v>4</v>
      </c>
      <c r="D852">
        <v>1077</v>
      </c>
      <c r="E852" t="s">
        <v>1682</v>
      </c>
    </row>
    <row r="853" spans="1:5" x14ac:dyDescent="0.35">
      <c r="A853" t="s">
        <v>579</v>
      </c>
      <c r="B853" t="s">
        <v>1683</v>
      </c>
      <c r="C853">
        <v>5</v>
      </c>
      <c r="D853">
        <v>1078</v>
      </c>
      <c r="E853" t="s">
        <v>1510</v>
      </c>
    </row>
    <row r="854" spans="1:5" x14ac:dyDescent="0.35">
      <c r="A854" t="s">
        <v>582</v>
      </c>
      <c r="B854" t="s">
        <v>1684</v>
      </c>
      <c r="C854">
        <v>6</v>
      </c>
      <c r="D854">
        <v>1079</v>
      </c>
      <c r="E854" t="s">
        <v>1512</v>
      </c>
    </row>
    <row r="855" spans="1:5" x14ac:dyDescent="0.35">
      <c r="A855" t="s">
        <v>582</v>
      </c>
      <c r="B855" t="s">
        <v>1685</v>
      </c>
      <c r="C855">
        <v>6</v>
      </c>
      <c r="D855">
        <v>2278</v>
      </c>
      <c r="E855" t="s">
        <v>1514</v>
      </c>
    </row>
    <row r="856" spans="1:5" x14ac:dyDescent="0.35">
      <c r="A856" t="s">
        <v>579</v>
      </c>
      <c r="B856" t="s">
        <v>1686</v>
      </c>
      <c r="C856">
        <v>5</v>
      </c>
      <c r="D856">
        <v>1080</v>
      </c>
      <c r="E856" t="s">
        <v>391</v>
      </c>
    </row>
    <row r="857" spans="1:5" x14ac:dyDescent="0.35">
      <c r="A857" t="s">
        <v>582</v>
      </c>
      <c r="B857" t="s">
        <v>1687</v>
      </c>
      <c r="C857">
        <v>6</v>
      </c>
      <c r="D857">
        <v>1081</v>
      </c>
      <c r="E857" t="s">
        <v>1688</v>
      </c>
    </row>
    <row r="858" spans="1:5" x14ac:dyDescent="0.35">
      <c r="A858" t="s">
        <v>582</v>
      </c>
      <c r="B858" t="s">
        <v>1689</v>
      </c>
      <c r="C858">
        <v>6</v>
      </c>
      <c r="D858">
        <v>1082</v>
      </c>
      <c r="E858" t="s">
        <v>1690</v>
      </c>
    </row>
    <row r="859" spans="1:5" x14ac:dyDescent="0.35">
      <c r="A859" t="s">
        <v>582</v>
      </c>
      <c r="B859" t="s">
        <v>1691</v>
      </c>
      <c r="C859">
        <v>6</v>
      </c>
      <c r="D859">
        <v>2313</v>
      </c>
      <c r="E859" t="s">
        <v>1451</v>
      </c>
    </row>
    <row r="860" spans="1:5" x14ac:dyDescent="0.35">
      <c r="A860" t="s">
        <v>579</v>
      </c>
      <c r="B860" t="s">
        <v>1692</v>
      </c>
      <c r="C860">
        <v>5</v>
      </c>
      <c r="D860">
        <v>1083</v>
      </c>
      <c r="E860" t="s">
        <v>1002</v>
      </c>
    </row>
    <row r="861" spans="1:5" x14ac:dyDescent="0.35">
      <c r="A861" t="s">
        <v>582</v>
      </c>
      <c r="B861" t="s">
        <v>1693</v>
      </c>
      <c r="C861">
        <v>6</v>
      </c>
      <c r="D861">
        <v>1084</v>
      </c>
      <c r="E861" t="s">
        <v>1601</v>
      </c>
    </row>
    <row r="862" spans="1:5" x14ac:dyDescent="0.35">
      <c r="A862" t="s">
        <v>582</v>
      </c>
      <c r="B862" t="s">
        <v>1694</v>
      </c>
      <c r="C862">
        <v>6</v>
      </c>
      <c r="D862">
        <v>1085</v>
      </c>
      <c r="E862" t="s">
        <v>1522</v>
      </c>
    </row>
    <row r="863" spans="1:5" x14ac:dyDescent="0.35">
      <c r="A863" t="s">
        <v>582</v>
      </c>
      <c r="B863" t="s">
        <v>1695</v>
      </c>
      <c r="C863">
        <v>6</v>
      </c>
      <c r="D863">
        <v>2279</v>
      </c>
      <c r="E863" t="s">
        <v>1524</v>
      </c>
    </row>
    <row r="864" spans="1:5" x14ac:dyDescent="0.35">
      <c r="A864" t="s">
        <v>579</v>
      </c>
      <c r="B864" t="s">
        <v>1696</v>
      </c>
      <c r="C864">
        <v>5</v>
      </c>
      <c r="D864">
        <v>1086</v>
      </c>
      <c r="E864" t="s">
        <v>1697</v>
      </c>
    </row>
    <row r="865" spans="1:5" x14ac:dyDescent="0.35">
      <c r="A865" t="s">
        <v>582</v>
      </c>
      <c r="B865" t="s">
        <v>1698</v>
      </c>
      <c r="C865">
        <v>6</v>
      </c>
      <c r="D865">
        <v>1087</v>
      </c>
      <c r="E865" t="s">
        <v>1699</v>
      </c>
    </row>
    <row r="866" spans="1:5" x14ac:dyDescent="0.35">
      <c r="A866" t="s">
        <v>582</v>
      </c>
      <c r="B866" t="s">
        <v>1700</v>
      </c>
      <c r="C866">
        <v>6</v>
      </c>
      <c r="D866">
        <v>1977</v>
      </c>
      <c r="E866" t="s">
        <v>734</v>
      </c>
    </row>
    <row r="867" spans="1:5" x14ac:dyDescent="0.35">
      <c r="A867" t="s">
        <v>582</v>
      </c>
      <c r="B867" t="s">
        <v>1701</v>
      </c>
      <c r="C867">
        <v>6</v>
      </c>
      <c r="D867">
        <v>1978</v>
      </c>
      <c r="E867" t="s">
        <v>736</v>
      </c>
    </row>
    <row r="868" spans="1:5" x14ac:dyDescent="0.35">
      <c r="A868" t="s">
        <v>582</v>
      </c>
      <c r="B868" t="s">
        <v>1702</v>
      </c>
      <c r="C868">
        <v>6</v>
      </c>
      <c r="D868">
        <v>1979</v>
      </c>
      <c r="E868" t="s">
        <v>740</v>
      </c>
    </row>
    <row r="869" spans="1:5" x14ac:dyDescent="0.35">
      <c r="A869" t="s">
        <v>582</v>
      </c>
      <c r="B869" t="s">
        <v>1703</v>
      </c>
      <c r="C869">
        <v>6</v>
      </c>
      <c r="D869">
        <v>2066</v>
      </c>
      <c r="E869" t="s">
        <v>1704</v>
      </c>
    </row>
    <row r="870" spans="1:5" x14ac:dyDescent="0.35">
      <c r="A870" t="s">
        <v>579</v>
      </c>
      <c r="B870" t="s">
        <v>429</v>
      </c>
      <c r="C870">
        <v>4</v>
      </c>
      <c r="D870">
        <v>1088</v>
      </c>
      <c r="E870" t="s">
        <v>430</v>
      </c>
    </row>
    <row r="871" spans="1:5" x14ac:dyDescent="0.35">
      <c r="A871" t="s">
        <v>579</v>
      </c>
      <c r="B871" t="s">
        <v>432</v>
      </c>
      <c r="C871">
        <v>5</v>
      </c>
      <c r="D871">
        <v>1089</v>
      </c>
      <c r="E871" t="s">
        <v>433</v>
      </c>
    </row>
    <row r="872" spans="1:5" x14ac:dyDescent="0.35">
      <c r="A872" t="s">
        <v>582</v>
      </c>
      <c r="B872" t="s">
        <v>1705</v>
      </c>
      <c r="C872">
        <v>6</v>
      </c>
      <c r="D872">
        <v>1090</v>
      </c>
      <c r="E872" t="s">
        <v>1706</v>
      </c>
    </row>
    <row r="873" spans="1:5" x14ac:dyDescent="0.35">
      <c r="A873" t="s">
        <v>582</v>
      </c>
      <c r="B873" t="s">
        <v>558</v>
      </c>
      <c r="C873">
        <v>6</v>
      </c>
      <c r="D873">
        <v>2036</v>
      </c>
      <c r="E873" t="s">
        <v>1231</v>
      </c>
    </row>
    <row r="874" spans="1:5" x14ac:dyDescent="0.35">
      <c r="A874" t="s">
        <v>582</v>
      </c>
      <c r="B874" t="s">
        <v>434</v>
      </c>
      <c r="C874">
        <v>6</v>
      </c>
      <c r="D874">
        <v>2068</v>
      </c>
      <c r="E874" t="s">
        <v>435</v>
      </c>
    </row>
    <row r="875" spans="1:5" x14ac:dyDescent="0.35">
      <c r="A875" t="s">
        <v>582</v>
      </c>
      <c r="B875" t="s">
        <v>1707</v>
      </c>
      <c r="C875">
        <v>6</v>
      </c>
      <c r="D875">
        <v>1980</v>
      </c>
      <c r="E875" t="s">
        <v>1708</v>
      </c>
    </row>
    <row r="876" spans="1:5" x14ac:dyDescent="0.35">
      <c r="A876" t="s">
        <v>582</v>
      </c>
      <c r="B876" t="s">
        <v>1709</v>
      </c>
      <c r="C876">
        <v>6</v>
      </c>
      <c r="D876">
        <v>1981</v>
      </c>
      <c r="E876" t="s">
        <v>1710</v>
      </c>
    </row>
    <row r="877" spans="1:5" x14ac:dyDescent="0.35">
      <c r="A877" t="s">
        <v>579</v>
      </c>
      <c r="B877" t="s">
        <v>1711</v>
      </c>
      <c r="C877">
        <v>3</v>
      </c>
      <c r="D877">
        <v>1091</v>
      </c>
      <c r="E877" t="s">
        <v>1712</v>
      </c>
    </row>
    <row r="878" spans="1:5" x14ac:dyDescent="0.35">
      <c r="A878" t="s">
        <v>579</v>
      </c>
      <c r="B878" t="s">
        <v>1713</v>
      </c>
      <c r="C878">
        <v>4</v>
      </c>
      <c r="D878">
        <v>1092</v>
      </c>
      <c r="E878" t="s">
        <v>1714</v>
      </c>
    </row>
    <row r="879" spans="1:5" x14ac:dyDescent="0.35">
      <c r="A879" t="s">
        <v>579</v>
      </c>
      <c r="B879" t="s">
        <v>1715</v>
      </c>
      <c r="C879">
        <v>5</v>
      </c>
      <c r="D879">
        <v>1093</v>
      </c>
      <c r="E879" t="s">
        <v>1510</v>
      </c>
    </row>
    <row r="880" spans="1:5" x14ac:dyDescent="0.35">
      <c r="A880" t="s">
        <v>582</v>
      </c>
      <c r="B880" t="s">
        <v>1716</v>
      </c>
      <c r="C880">
        <v>6</v>
      </c>
      <c r="D880">
        <v>1094</v>
      </c>
      <c r="E880" t="s">
        <v>1512</v>
      </c>
    </row>
    <row r="881" spans="1:5" x14ac:dyDescent="0.35">
      <c r="A881" t="s">
        <v>579</v>
      </c>
      <c r="B881" t="s">
        <v>1717</v>
      </c>
      <c r="C881">
        <v>5</v>
      </c>
      <c r="D881">
        <v>1095</v>
      </c>
      <c r="E881" t="s">
        <v>391</v>
      </c>
    </row>
    <row r="882" spans="1:5" x14ac:dyDescent="0.35">
      <c r="A882" t="s">
        <v>582</v>
      </c>
      <c r="B882" t="s">
        <v>1718</v>
      </c>
      <c r="C882">
        <v>6</v>
      </c>
      <c r="D882">
        <v>1096</v>
      </c>
      <c r="E882" t="s">
        <v>1688</v>
      </c>
    </row>
    <row r="883" spans="1:5" x14ac:dyDescent="0.35">
      <c r="A883" t="s">
        <v>582</v>
      </c>
      <c r="B883" t="s">
        <v>1719</v>
      </c>
      <c r="C883">
        <v>6</v>
      </c>
      <c r="D883">
        <v>1097</v>
      </c>
      <c r="E883" t="s">
        <v>1690</v>
      </c>
    </row>
    <row r="884" spans="1:5" x14ac:dyDescent="0.35">
      <c r="A884" t="s">
        <v>579</v>
      </c>
      <c r="B884" t="s">
        <v>1720</v>
      </c>
      <c r="C884">
        <v>5</v>
      </c>
      <c r="D884">
        <v>1098</v>
      </c>
      <c r="E884" t="s">
        <v>1002</v>
      </c>
    </row>
    <row r="885" spans="1:5" x14ac:dyDescent="0.35">
      <c r="A885" t="s">
        <v>582</v>
      </c>
      <c r="B885" t="s">
        <v>1721</v>
      </c>
      <c r="C885">
        <v>6</v>
      </c>
      <c r="D885">
        <v>1099</v>
      </c>
      <c r="E885" t="s">
        <v>1520</v>
      </c>
    </row>
    <row r="886" spans="1:5" x14ac:dyDescent="0.35">
      <c r="A886" t="s">
        <v>582</v>
      </c>
      <c r="B886" t="s">
        <v>1722</v>
      </c>
      <c r="C886">
        <v>6</v>
      </c>
      <c r="D886">
        <v>1100</v>
      </c>
      <c r="E886" t="s">
        <v>1522</v>
      </c>
    </row>
    <row r="887" spans="1:5" x14ac:dyDescent="0.35">
      <c r="A887" t="s">
        <v>579</v>
      </c>
      <c r="B887" t="s">
        <v>1723</v>
      </c>
      <c r="C887">
        <v>5</v>
      </c>
      <c r="D887">
        <v>1101</v>
      </c>
      <c r="E887" t="s">
        <v>1697</v>
      </c>
    </row>
    <row r="888" spans="1:5" x14ac:dyDescent="0.35">
      <c r="A888" t="s">
        <v>582</v>
      </c>
      <c r="B888" t="s">
        <v>1724</v>
      </c>
      <c r="C888">
        <v>6</v>
      </c>
      <c r="D888">
        <v>1102</v>
      </c>
      <c r="E888" t="s">
        <v>1699</v>
      </c>
    </row>
    <row r="889" spans="1:5" x14ac:dyDescent="0.35">
      <c r="A889" t="s">
        <v>579</v>
      </c>
      <c r="B889" t="s">
        <v>1725</v>
      </c>
      <c r="C889">
        <v>4</v>
      </c>
      <c r="D889">
        <v>1103</v>
      </c>
      <c r="E889" t="s">
        <v>1726</v>
      </c>
    </row>
    <row r="890" spans="1:5" x14ac:dyDescent="0.35">
      <c r="A890" t="s">
        <v>579</v>
      </c>
      <c r="B890" t="s">
        <v>1727</v>
      </c>
      <c r="C890">
        <v>5</v>
      </c>
      <c r="D890">
        <v>1104</v>
      </c>
      <c r="E890" t="s">
        <v>433</v>
      </c>
    </row>
    <row r="891" spans="1:5" x14ac:dyDescent="0.35">
      <c r="A891" t="s">
        <v>582</v>
      </c>
      <c r="B891" t="s">
        <v>1728</v>
      </c>
      <c r="C891">
        <v>6</v>
      </c>
      <c r="D891">
        <v>1105</v>
      </c>
      <c r="E891" t="s">
        <v>1706</v>
      </c>
    </row>
    <row r="892" spans="1:5" x14ac:dyDescent="0.35">
      <c r="A892" t="s">
        <v>582</v>
      </c>
      <c r="B892" t="s">
        <v>1729</v>
      </c>
      <c r="C892">
        <v>6</v>
      </c>
      <c r="D892">
        <v>2037</v>
      </c>
      <c r="E892" t="s">
        <v>1355</v>
      </c>
    </row>
    <row r="893" spans="1:5" x14ac:dyDescent="0.35">
      <c r="A893" t="s">
        <v>582</v>
      </c>
      <c r="B893" t="s">
        <v>1730</v>
      </c>
      <c r="C893">
        <v>6</v>
      </c>
      <c r="D893">
        <v>2069</v>
      </c>
      <c r="E893" t="s">
        <v>435</v>
      </c>
    </row>
    <row r="894" spans="1:5" x14ac:dyDescent="0.35">
      <c r="A894" t="s">
        <v>579</v>
      </c>
      <c r="B894" t="s">
        <v>1731</v>
      </c>
      <c r="C894">
        <v>3</v>
      </c>
      <c r="D894">
        <v>1106</v>
      </c>
      <c r="E894" t="s">
        <v>1732</v>
      </c>
    </row>
    <row r="895" spans="1:5" x14ac:dyDescent="0.35">
      <c r="A895" t="s">
        <v>579</v>
      </c>
      <c r="B895" t="s">
        <v>1733</v>
      </c>
      <c r="C895">
        <v>4</v>
      </c>
      <c r="D895">
        <v>1107</v>
      </c>
      <c r="E895" t="s">
        <v>1734</v>
      </c>
    </row>
    <row r="896" spans="1:5" x14ac:dyDescent="0.35">
      <c r="A896" t="s">
        <v>579</v>
      </c>
      <c r="B896" t="s">
        <v>1735</v>
      </c>
      <c r="C896">
        <v>5</v>
      </c>
      <c r="D896">
        <v>1108</v>
      </c>
      <c r="E896" t="s">
        <v>1510</v>
      </c>
    </row>
    <row r="897" spans="1:5" x14ac:dyDescent="0.35">
      <c r="A897" t="s">
        <v>582</v>
      </c>
      <c r="B897" t="s">
        <v>1736</v>
      </c>
      <c r="C897">
        <v>6</v>
      </c>
      <c r="D897">
        <v>1109</v>
      </c>
      <c r="E897" t="s">
        <v>1512</v>
      </c>
    </row>
    <row r="898" spans="1:5" x14ac:dyDescent="0.35">
      <c r="A898" t="s">
        <v>579</v>
      </c>
      <c r="B898" t="s">
        <v>1737</v>
      </c>
      <c r="C898">
        <v>5</v>
      </c>
      <c r="D898">
        <v>1110</v>
      </c>
      <c r="E898" t="s">
        <v>391</v>
      </c>
    </row>
    <row r="899" spans="1:5" x14ac:dyDescent="0.35">
      <c r="A899" t="s">
        <v>582</v>
      </c>
      <c r="B899" t="s">
        <v>1738</v>
      </c>
      <c r="C899">
        <v>6</v>
      </c>
      <c r="D899">
        <v>1111</v>
      </c>
      <c r="E899" t="s">
        <v>1688</v>
      </c>
    </row>
    <row r="900" spans="1:5" x14ac:dyDescent="0.35">
      <c r="A900" t="s">
        <v>582</v>
      </c>
      <c r="B900" t="s">
        <v>1739</v>
      </c>
      <c r="C900">
        <v>6</v>
      </c>
      <c r="D900">
        <v>1112</v>
      </c>
      <c r="E900" t="s">
        <v>1690</v>
      </c>
    </row>
    <row r="901" spans="1:5" x14ac:dyDescent="0.35">
      <c r="A901" t="s">
        <v>579</v>
      </c>
      <c r="B901" t="s">
        <v>1740</v>
      </c>
      <c r="C901">
        <v>5</v>
      </c>
      <c r="D901">
        <v>1113</v>
      </c>
      <c r="E901" t="s">
        <v>1002</v>
      </c>
    </row>
    <row r="902" spans="1:5" x14ac:dyDescent="0.35">
      <c r="A902" t="s">
        <v>582</v>
      </c>
      <c r="B902" t="s">
        <v>1741</v>
      </c>
      <c r="C902">
        <v>6</v>
      </c>
      <c r="D902">
        <v>1114</v>
      </c>
      <c r="E902" t="s">
        <v>1520</v>
      </c>
    </row>
    <row r="903" spans="1:5" x14ac:dyDescent="0.35">
      <c r="A903" t="s">
        <v>582</v>
      </c>
      <c r="B903" t="s">
        <v>1742</v>
      </c>
      <c r="C903">
        <v>6</v>
      </c>
      <c r="D903">
        <v>1115</v>
      </c>
      <c r="E903" t="s">
        <v>1522</v>
      </c>
    </row>
    <row r="904" spans="1:5" x14ac:dyDescent="0.35">
      <c r="A904" t="s">
        <v>582</v>
      </c>
      <c r="B904" t="s">
        <v>1743</v>
      </c>
      <c r="C904">
        <v>6</v>
      </c>
      <c r="D904">
        <v>1968</v>
      </c>
      <c r="E904" t="s">
        <v>1744</v>
      </c>
    </row>
    <row r="905" spans="1:5" x14ac:dyDescent="0.35">
      <c r="A905" t="s">
        <v>579</v>
      </c>
      <c r="B905" t="s">
        <v>1745</v>
      </c>
      <c r="C905">
        <v>5</v>
      </c>
      <c r="D905">
        <v>1116</v>
      </c>
      <c r="E905" t="s">
        <v>1697</v>
      </c>
    </row>
    <row r="906" spans="1:5" x14ac:dyDescent="0.35">
      <c r="A906" t="s">
        <v>582</v>
      </c>
      <c r="B906" t="s">
        <v>1746</v>
      </c>
      <c r="C906">
        <v>6</v>
      </c>
      <c r="D906">
        <v>1117</v>
      </c>
      <c r="E906" t="s">
        <v>1699</v>
      </c>
    </row>
    <row r="907" spans="1:5" x14ac:dyDescent="0.35">
      <c r="A907" t="s">
        <v>579</v>
      </c>
      <c r="B907" t="s">
        <v>1747</v>
      </c>
      <c r="C907">
        <v>4</v>
      </c>
      <c r="D907">
        <v>1118</v>
      </c>
      <c r="E907" t="s">
        <v>1748</v>
      </c>
    </row>
    <row r="908" spans="1:5" x14ac:dyDescent="0.35">
      <c r="A908" t="s">
        <v>579</v>
      </c>
      <c r="B908" t="s">
        <v>1749</v>
      </c>
      <c r="C908">
        <v>5</v>
      </c>
      <c r="D908">
        <v>1119</v>
      </c>
      <c r="E908" t="s">
        <v>433</v>
      </c>
    </row>
    <row r="909" spans="1:5" x14ac:dyDescent="0.35">
      <c r="A909" t="s">
        <v>582</v>
      </c>
      <c r="B909" t="s">
        <v>1750</v>
      </c>
      <c r="C909">
        <v>6</v>
      </c>
      <c r="D909">
        <v>1120</v>
      </c>
      <c r="E909" t="s">
        <v>1706</v>
      </c>
    </row>
    <row r="910" spans="1:5" x14ac:dyDescent="0.35">
      <c r="A910" t="s">
        <v>582</v>
      </c>
      <c r="B910" t="s">
        <v>1751</v>
      </c>
      <c r="C910">
        <v>6</v>
      </c>
      <c r="D910">
        <v>2038</v>
      </c>
      <c r="E910" t="s">
        <v>1752</v>
      </c>
    </row>
    <row r="911" spans="1:5" x14ac:dyDescent="0.35">
      <c r="A911" t="s">
        <v>579</v>
      </c>
      <c r="B911" t="s">
        <v>437</v>
      </c>
      <c r="C911">
        <v>2</v>
      </c>
      <c r="D911">
        <v>1121</v>
      </c>
      <c r="E911" t="s">
        <v>438</v>
      </c>
    </row>
    <row r="912" spans="1:5" x14ac:dyDescent="0.35">
      <c r="A912" t="s">
        <v>579</v>
      </c>
      <c r="B912" t="s">
        <v>439</v>
      </c>
      <c r="C912">
        <v>3</v>
      </c>
      <c r="D912">
        <v>1122</v>
      </c>
      <c r="E912" t="s">
        <v>440</v>
      </c>
    </row>
    <row r="913" spans="1:5" x14ac:dyDescent="0.35">
      <c r="A913" t="s">
        <v>579</v>
      </c>
      <c r="B913" t="s">
        <v>441</v>
      </c>
      <c r="C913">
        <v>4</v>
      </c>
      <c r="D913">
        <v>1123</v>
      </c>
      <c r="E913" t="s">
        <v>442</v>
      </c>
    </row>
    <row r="914" spans="1:5" x14ac:dyDescent="0.35">
      <c r="A914" t="s">
        <v>579</v>
      </c>
      <c r="B914" t="s">
        <v>444</v>
      </c>
      <c r="C914">
        <v>5</v>
      </c>
      <c r="D914">
        <v>1124</v>
      </c>
      <c r="E914" t="s">
        <v>445</v>
      </c>
    </row>
    <row r="915" spans="1:5" x14ac:dyDescent="0.35">
      <c r="A915" t="s">
        <v>582</v>
      </c>
      <c r="B915" t="s">
        <v>446</v>
      </c>
      <c r="C915">
        <v>6</v>
      </c>
      <c r="D915">
        <v>1125</v>
      </c>
      <c r="E915" t="s">
        <v>447</v>
      </c>
    </row>
    <row r="916" spans="1:5" x14ac:dyDescent="0.35">
      <c r="A916" t="s">
        <v>582</v>
      </c>
      <c r="B916" t="s">
        <v>1753</v>
      </c>
      <c r="C916">
        <v>6</v>
      </c>
      <c r="D916">
        <v>1126</v>
      </c>
      <c r="E916" t="s">
        <v>1754</v>
      </c>
    </row>
    <row r="917" spans="1:5" x14ac:dyDescent="0.35">
      <c r="A917" t="s">
        <v>582</v>
      </c>
      <c r="B917" t="s">
        <v>571</v>
      </c>
      <c r="C917">
        <v>6</v>
      </c>
      <c r="D917">
        <v>1127</v>
      </c>
      <c r="E917" t="s">
        <v>572</v>
      </c>
    </row>
    <row r="918" spans="1:5" x14ac:dyDescent="0.35">
      <c r="A918" t="s">
        <v>582</v>
      </c>
      <c r="B918" t="s">
        <v>1755</v>
      </c>
      <c r="C918">
        <v>6</v>
      </c>
      <c r="D918">
        <v>1128</v>
      </c>
      <c r="E918" t="s">
        <v>1756</v>
      </c>
    </row>
    <row r="919" spans="1:5" x14ac:dyDescent="0.35">
      <c r="A919" t="s">
        <v>582</v>
      </c>
      <c r="B919" t="s">
        <v>1757</v>
      </c>
      <c r="C919">
        <v>6</v>
      </c>
      <c r="D919">
        <v>1905</v>
      </c>
      <c r="E919" t="s">
        <v>1758</v>
      </c>
    </row>
    <row r="920" spans="1:5" x14ac:dyDescent="0.35">
      <c r="A920" t="s">
        <v>582</v>
      </c>
      <c r="B920" t="s">
        <v>1759</v>
      </c>
      <c r="C920">
        <v>6</v>
      </c>
      <c r="D920">
        <v>1906</v>
      </c>
      <c r="E920" t="s">
        <v>1760</v>
      </c>
    </row>
    <row r="921" spans="1:5" x14ac:dyDescent="0.35">
      <c r="A921" t="s">
        <v>582</v>
      </c>
      <c r="B921" t="s">
        <v>1761</v>
      </c>
      <c r="C921">
        <v>6</v>
      </c>
      <c r="D921">
        <v>2280</v>
      </c>
      <c r="E921" t="s">
        <v>1762</v>
      </c>
    </row>
    <row r="922" spans="1:5" x14ac:dyDescent="0.35">
      <c r="A922" t="s">
        <v>582</v>
      </c>
      <c r="B922" t="s">
        <v>448</v>
      </c>
      <c r="C922">
        <v>6</v>
      </c>
      <c r="D922">
        <v>2197</v>
      </c>
      <c r="E922" t="s">
        <v>1763</v>
      </c>
    </row>
    <row r="923" spans="1:5" x14ac:dyDescent="0.35">
      <c r="A923" t="s">
        <v>579</v>
      </c>
      <c r="B923" t="s">
        <v>1764</v>
      </c>
      <c r="C923">
        <v>4</v>
      </c>
      <c r="D923">
        <v>1129</v>
      </c>
      <c r="E923" t="s">
        <v>1765</v>
      </c>
    </row>
    <row r="924" spans="1:5" x14ac:dyDescent="0.35">
      <c r="A924" t="s">
        <v>579</v>
      </c>
      <c r="B924" t="s">
        <v>1766</v>
      </c>
      <c r="C924">
        <v>5</v>
      </c>
      <c r="D924">
        <v>1130</v>
      </c>
      <c r="E924" t="s">
        <v>1767</v>
      </c>
    </row>
    <row r="925" spans="1:5" x14ac:dyDescent="0.35">
      <c r="A925" t="s">
        <v>582</v>
      </c>
      <c r="B925" t="s">
        <v>1768</v>
      </c>
      <c r="C925">
        <v>6</v>
      </c>
      <c r="D925">
        <v>1131</v>
      </c>
      <c r="E925" t="s">
        <v>1769</v>
      </c>
    </row>
    <row r="926" spans="1:5" x14ac:dyDescent="0.35">
      <c r="A926" t="s">
        <v>582</v>
      </c>
      <c r="B926" t="s">
        <v>1770</v>
      </c>
      <c r="C926">
        <v>6</v>
      </c>
      <c r="D926">
        <v>1132</v>
      </c>
      <c r="E926" t="s">
        <v>1771</v>
      </c>
    </row>
    <row r="927" spans="1:5" x14ac:dyDescent="0.35">
      <c r="A927" t="s">
        <v>582</v>
      </c>
      <c r="B927" t="s">
        <v>1772</v>
      </c>
      <c r="C927">
        <v>6</v>
      </c>
      <c r="D927">
        <v>1133</v>
      </c>
      <c r="E927" t="s">
        <v>1773</v>
      </c>
    </row>
    <row r="928" spans="1:5" x14ac:dyDescent="0.35">
      <c r="A928" t="s">
        <v>582</v>
      </c>
      <c r="B928" t="s">
        <v>1774</v>
      </c>
      <c r="C928">
        <v>6</v>
      </c>
      <c r="D928">
        <v>1134</v>
      </c>
      <c r="E928" t="s">
        <v>1775</v>
      </c>
    </row>
    <row r="929" spans="1:5" x14ac:dyDescent="0.35">
      <c r="A929" t="s">
        <v>582</v>
      </c>
      <c r="B929" t="s">
        <v>1776</v>
      </c>
      <c r="C929">
        <v>6</v>
      </c>
      <c r="D929">
        <v>1135</v>
      </c>
      <c r="E929" t="s">
        <v>1777</v>
      </c>
    </row>
    <row r="930" spans="1:5" x14ac:dyDescent="0.35">
      <c r="A930" t="s">
        <v>582</v>
      </c>
      <c r="B930" t="s">
        <v>1778</v>
      </c>
      <c r="C930">
        <v>6</v>
      </c>
      <c r="D930">
        <v>1136</v>
      </c>
      <c r="E930" t="s">
        <v>1779</v>
      </c>
    </row>
    <row r="931" spans="1:5" x14ac:dyDescent="0.35">
      <c r="A931" t="s">
        <v>582</v>
      </c>
      <c r="B931" t="s">
        <v>1780</v>
      </c>
      <c r="C931">
        <v>6</v>
      </c>
      <c r="D931">
        <v>1137</v>
      </c>
      <c r="E931" t="s">
        <v>1781</v>
      </c>
    </row>
    <row r="932" spans="1:5" x14ac:dyDescent="0.35">
      <c r="A932" t="s">
        <v>582</v>
      </c>
      <c r="B932" t="s">
        <v>1782</v>
      </c>
      <c r="C932">
        <v>6</v>
      </c>
      <c r="D932">
        <v>1138</v>
      </c>
      <c r="E932" t="s">
        <v>1783</v>
      </c>
    </row>
    <row r="933" spans="1:5" x14ac:dyDescent="0.35">
      <c r="A933" t="s">
        <v>582</v>
      </c>
      <c r="B933" t="s">
        <v>1784</v>
      </c>
      <c r="C933">
        <v>6</v>
      </c>
      <c r="D933">
        <v>1139</v>
      </c>
      <c r="E933" t="s">
        <v>1785</v>
      </c>
    </row>
    <row r="934" spans="1:5" x14ac:dyDescent="0.35">
      <c r="A934" t="s">
        <v>582</v>
      </c>
      <c r="B934" t="s">
        <v>1786</v>
      </c>
      <c r="C934">
        <v>6</v>
      </c>
      <c r="D934">
        <v>1140</v>
      </c>
      <c r="E934" t="s">
        <v>1787</v>
      </c>
    </row>
    <row r="935" spans="1:5" x14ac:dyDescent="0.35">
      <c r="A935" t="s">
        <v>582</v>
      </c>
      <c r="B935" t="s">
        <v>1788</v>
      </c>
      <c r="C935">
        <v>6</v>
      </c>
      <c r="D935">
        <v>1141</v>
      </c>
      <c r="E935" t="s">
        <v>1789</v>
      </c>
    </row>
    <row r="936" spans="1:5" x14ac:dyDescent="0.35">
      <c r="A936" t="s">
        <v>582</v>
      </c>
      <c r="B936" t="s">
        <v>1790</v>
      </c>
      <c r="C936">
        <v>6</v>
      </c>
      <c r="D936">
        <v>1142</v>
      </c>
      <c r="E936" t="s">
        <v>1791</v>
      </c>
    </row>
    <row r="937" spans="1:5" x14ac:dyDescent="0.35">
      <c r="A937" t="s">
        <v>582</v>
      </c>
      <c r="B937" t="s">
        <v>1792</v>
      </c>
      <c r="C937">
        <v>6</v>
      </c>
      <c r="D937">
        <v>1143</v>
      </c>
      <c r="E937" t="s">
        <v>1793</v>
      </c>
    </row>
    <row r="938" spans="1:5" x14ac:dyDescent="0.35">
      <c r="A938" t="s">
        <v>582</v>
      </c>
      <c r="B938" t="s">
        <v>1794</v>
      </c>
      <c r="C938">
        <v>6</v>
      </c>
      <c r="D938">
        <v>1144</v>
      </c>
      <c r="E938" t="s">
        <v>1795</v>
      </c>
    </row>
    <row r="939" spans="1:5" x14ac:dyDescent="0.35">
      <c r="A939" t="s">
        <v>582</v>
      </c>
      <c r="B939" t="s">
        <v>1796</v>
      </c>
      <c r="C939">
        <v>6</v>
      </c>
      <c r="D939">
        <v>1145</v>
      </c>
      <c r="E939" t="s">
        <v>1797</v>
      </c>
    </row>
    <row r="940" spans="1:5" x14ac:dyDescent="0.35">
      <c r="A940" t="s">
        <v>582</v>
      </c>
      <c r="B940" t="s">
        <v>1798</v>
      </c>
      <c r="C940">
        <v>6</v>
      </c>
      <c r="D940">
        <v>1146</v>
      </c>
      <c r="E940" t="s">
        <v>1799</v>
      </c>
    </row>
    <row r="941" spans="1:5" x14ac:dyDescent="0.35">
      <c r="A941" t="s">
        <v>582</v>
      </c>
      <c r="B941" t="s">
        <v>1800</v>
      </c>
      <c r="C941">
        <v>6</v>
      </c>
      <c r="D941">
        <v>1147</v>
      </c>
      <c r="E941" t="s">
        <v>1801</v>
      </c>
    </row>
    <row r="942" spans="1:5" x14ac:dyDescent="0.35">
      <c r="A942" t="s">
        <v>582</v>
      </c>
      <c r="B942" t="s">
        <v>1802</v>
      </c>
      <c r="C942">
        <v>6</v>
      </c>
      <c r="D942">
        <v>1148</v>
      </c>
      <c r="E942" t="s">
        <v>1803</v>
      </c>
    </row>
    <row r="943" spans="1:5" x14ac:dyDescent="0.35">
      <c r="A943" t="s">
        <v>582</v>
      </c>
      <c r="B943" t="s">
        <v>1804</v>
      </c>
      <c r="C943">
        <v>6</v>
      </c>
      <c r="D943">
        <v>1149</v>
      </c>
      <c r="E943" t="s">
        <v>1805</v>
      </c>
    </row>
    <row r="944" spans="1:5" x14ac:dyDescent="0.35">
      <c r="A944" t="s">
        <v>582</v>
      </c>
      <c r="B944" t="s">
        <v>1806</v>
      </c>
      <c r="C944">
        <v>6</v>
      </c>
      <c r="D944">
        <v>1150</v>
      </c>
      <c r="E944" t="s">
        <v>1807</v>
      </c>
    </row>
    <row r="945" spans="1:5" x14ac:dyDescent="0.35">
      <c r="A945" t="s">
        <v>582</v>
      </c>
      <c r="B945" t="s">
        <v>1808</v>
      </c>
      <c r="C945">
        <v>6</v>
      </c>
      <c r="D945">
        <v>1151</v>
      </c>
      <c r="E945" t="s">
        <v>1809</v>
      </c>
    </row>
    <row r="946" spans="1:5" x14ac:dyDescent="0.35">
      <c r="A946" t="s">
        <v>582</v>
      </c>
      <c r="B946" t="s">
        <v>1810</v>
      </c>
      <c r="C946">
        <v>6</v>
      </c>
      <c r="D946">
        <v>1152</v>
      </c>
      <c r="E946" t="s">
        <v>1811</v>
      </c>
    </row>
    <row r="947" spans="1:5" x14ac:dyDescent="0.35">
      <c r="A947" t="s">
        <v>582</v>
      </c>
      <c r="B947" t="s">
        <v>1812</v>
      </c>
      <c r="C947">
        <v>6</v>
      </c>
      <c r="D947">
        <v>1153</v>
      </c>
      <c r="E947" t="s">
        <v>1813</v>
      </c>
    </row>
    <row r="948" spans="1:5" x14ac:dyDescent="0.35">
      <c r="A948" t="s">
        <v>582</v>
      </c>
      <c r="B948" t="s">
        <v>1814</v>
      </c>
      <c r="C948">
        <v>6</v>
      </c>
      <c r="D948">
        <v>1154</v>
      </c>
      <c r="E948" t="s">
        <v>1815</v>
      </c>
    </row>
    <row r="949" spans="1:5" x14ac:dyDescent="0.35">
      <c r="A949" t="s">
        <v>582</v>
      </c>
      <c r="B949" t="s">
        <v>1816</v>
      </c>
      <c r="C949">
        <v>6</v>
      </c>
      <c r="D949">
        <v>1155</v>
      </c>
      <c r="E949" t="s">
        <v>1817</v>
      </c>
    </row>
    <row r="950" spans="1:5" x14ac:dyDescent="0.35">
      <c r="A950" t="s">
        <v>582</v>
      </c>
      <c r="B950" t="s">
        <v>1818</v>
      </c>
      <c r="C950">
        <v>6</v>
      </c>
      <c r="D950">
        <v>1156</v>
      </c>
      <c r="E950" t="s">
        <v>1819</v>
      </c>
    </row>
    <row r="951" spans="1:5" x14ac:dyDescent="0.35">
      <c r="A951" t="s">
        <v>582</v>
      </c>
      <c r="B951" t="s">
        <v>1820</v>
      </c>
      <c r="C951">
        <v>6</v>
      </c>
      <c r="D951">
        <v>1157</v>
      </c>
      <c r="E951" t="s">
        <v>1821</v>
      </c>
    </row>
    <row r="952" spans="1:5" x14ac:dyDescent="0.35">
      <c r="A952" t="s">
        <v>582</v>
      </c>
      <c r="B952" t="s">
        <v>1822</v>
      </c>
      <c r="C952">
        <v>6</v>
      </c>
      <c r="D952">
        <v>1158</v>
      </c>
      <c r="E952" t="s">
        <v>1823</v>
      </c>
    </row>
    <row r="953" spans="1:5" x14ac:dyDescent="0.35">
      <c r="A953" t="s">
        <v>582</v>
      </c>
      <c r="B953" t="s">
        <v>1824</v>
      </c>
      <c r="C953">
        <v>6</v>
      </c>
      <c r="D953">
        <v>1159</v>
      </c>
      <c r="E953" t="s">
        <v>1825</v>
      </c>
    </row>
    <row r="954" spans="1:5" x14ac:dyDescent="0.35">
      <c r="A954" t="s">
        <v>582</v>
      </c>
      <c r="B954" t="s">
        <v>1826</v>
      </c>
      <c r="C954">
        <v>6</v>
      </c>
      <c r="D954">
        <v>1160</v>
      </c>
      <c r="E954" t="s">
        <v>1827</v>
      </c>
    </row>
    <row r="955" spans="1:5" x14ac:dyDescent="0.35">
      <c r="A955" t="s">
        <v>582</v>
      </c>
      <c r="B955" t="s">
        <v>1828</v>
      </c>
      <c r="C955">
        <v>6</v>
      </c>
      <c r="D955">
        <v>1161</v>
      </c>
      <c r="E955" t="s">
        <v>1829</v>
      </c>
    </row>
    <row r="956" spans="1:5" x14ac:dyDescent="0.35">
      <c r="A956" t="s">
        <v>582</v>
      </c>
      <c r="B956" t="s">
        <v>1830</v>
      </c>
      <c r="C956">
        <v>6</v>
      </c>
      <c r="D956">
        <v>1162</v>
      </c>
      <c r="E956" t="s">
        <v>1831</v>
      </c>
    </row>
    <row r="957" spans="1:5" x14ac:dyDescent="0.35">
      <c r="A957" t="s">
        <v>582</v>
      </c>
      <c r="B957" t="s">
        <v>1832</v>
      </c>
      <c r="C957">
        <v>6</v>
      </c>
      <c r="D957">
        <v>1163</v>
      </c>
      <c r="E957" t="s">
        <v>1833</v>
      </c>
    </row>
    <row r="958" spans="1:5" x14ac:dyDescent="0.35">
      <c r="A958" t="s">
        <v>582</v>
      </c>
      <c r="B958" t="s">
        <v>1834</v>
      </c>
      <c r="C958">
        <v>6</v>
      </c>
      <c r="D958">
        <v>1164</v>
      </c>
      <c r="E958" t="s">
        <v>1835</v>
      </c>
    </row>
    <row r="959" spans="1:5" x14ac:dyDescent="0.35">
      <c r="A959" t="s">
        <v>582</v>
      </c>
      <c r="B959" t="s">
        <v>1836</v>
      </c>
      <c r="C959">
        <v>6</v>
      </c>
      <c r="D959">
        <v>1165</v>
      </c>
      <c r="E959" t="s">
        <v>1837</v>
      </c>
    </row>
    <row r="960" spans="1:5" x14ac:dyDescent="0.35">
      <c r="A960" t="s">
        <v>582</v>
      </c>
      <c r="B960" t="s">
        <v>1838</v>
      </c>
      <c r="C960">
        <v>6</v>
      </c>
      <c r="D960">
        <v>1166</v>
      </c>
      <c r="E960" t="s">
        <v>1839</v>
      </c>
    </row>
    <row r="961" spans="1:5" x14ac:dyDescent="0.35">
      <c r="A961" t="s">
        <v>582</v>
      </c>
      <c r="B961" t="s">
        <v>1840</v>
      </c>
      <c r="C961">
        <v>6</v>
      </c>
      <c r="D961">
        <v>1167</v>
      </c>
      <c r="E961" t="s">
        <v>1841</v>
      </c>
    </row>
    <row r="962" spans="1:5" x14ac:dyDescent="0.35">
      <c r="A962" t="s">
        <v>582</v>
      </c>
      <c r="B962" t="s">
        <v>1842</v>
      </c>
      <c r="C962">
        <v>6</v>
      </c>
      <c r="D962">
        <v>1168</v>
      </c>
      <c r="E962" t="s">
        <v>1843</v>
      </c>
    </row>
    <row r="963" spans="1:5" x14ac:dyDescent="0.35">
      <c r="A963" t="s">
        <v>582</v>
      </c>
      <c r="B963" t="s">
        <v>1844</v>
      </c>
      <c r="C963">
        <v>6</v>
      </c>
      <c r="D963">
        <v>1169</v>
      </c>
      <c r="E963" t="s">
        <v>1845</v>
      </c>
    </row>
    <row r="964" spans="1:5" x14ac:dyDescent="0.35">
      <c r="A964" t="s">
        <v>582</v>
      </c>
      <c r="B964" t="s">
        <v>1846</v>
      </c>
      <c r="C964">
        <v>6</v>
      </c>
      <c r="D964">
        <v>1170</v>
      </c>
      <c r="E964" t="s">
        <v>1847</v>
      </c>
    </row>
    <row r="965" spans="1:5" x14ac:dyDescent="0.35">
      <c r="A965" t="s">
        <v>582</v>
      </c>
      <c r="B965" t="s">
        <v>1848</v>
      </c>
      <c r="C965">
        <v>6</v>
      </c>
      <c r="D965">
        <v>1171</v>
      </c>
      <c r="E965" t="s">
        <v>1849</v>
      </c>
    </row>
    <row r="966" spans="1:5" x14ac:dyDescent="0.35">
      <c r="A966" t="s">
        <v>582</v>
      </c>
      <c r="B966" t="s">
        <v>1850</v>
      </c>
      <c r="C966">
        <v>6</v>
      </c>
      <c r="D966">
        <v>1172</v>
      </c>
      <c r="E966" t="s">
        <v>1851</v>
      </c>
    </row>
    <row r="967" spans="1:5" x14ac:dyDescent="0.35">
      <c r="A967" t="s">
        <v>582</v>
      </c>
      <c r="B967" t="s">
        <v>1852</v>
      </c>
      <c r="C967">
        <v>6</v>
      </c>
      <c r="D967">
        <v>1173</v>
      </c>
      <c r="E967" t="s">
        <v>1853</v>
      </c>
    </row>
    <row r="968" spans="1:5" x14ac:dyDescent="0.35">
      <c r="A968" t="s">
        <v>582</v>
      </c>
      <c r="B968" t="s">
        <v>1854</v>
      </c>
      <c r="C968">
        <v>6</v>
      </c>
      <c r="D968">
        <v>1174</v>
      </c>
      <c r="E968" t="s">
        <v>1855</v>
      </c>
    </row>
    <row r="969" spans="1:5" x14ac:dyDescent="0.35">
      <c r="A969" t="s">
        <v>582</v>
      </c>
      <c r="B969" t="s">
        <v>1856</v>
      </c>
      <c r="C969">
        <v>6</v>
      </c>
      <c r="D969">
        <v>1175</v>
      </c>
      <c r="E969" t="s">
        <v>1857</v>
      </c>
    </row>
    <row r="970" spans="1:5" x14ac:dyDescent="0.35">
      <c r="A970" t="s">
        <v>582</v>
      </c>
      <c r="B970" t="s">
        <v>1858</v>
      </c>
      <c r="C970">
        <v>6</v>
      </c>
      <c r="D970">
        <v>1176</v>
      </c>
      <c r="E970" t="s">
        <v>1859</v>
      </c>
    </row>
    <row r="971" spans="1:5" x14ac:dyDescent="0.35">
      <c r="A971" t="s">
        <v>582</v>
      </c>
      <c r="B971" t="s">
        <v>1860</v>
      </c>
      <c r="C971">
        <v>6</v>
      </c>
      <c r="D971">
        <v>1177</v>
      </c>
      <c r="E971" t="s">
        <v>1861</v>
      </c>
    </row>
    <row r="972" spans="1:5" x14ac:dyDescent="0.35">
      <c r="A972" t="s">
        <v>582</v>
      </c>
      <c r="B972" t="s">
        <v>1862</v>
      </c>
      <c r="C972">
        <v>6</v>
      </c>
      <c r="D972">
        <v>1178</v>
      </c>
      <c r="E972" t="s">
        <v>1863</v>
      </c>
    </row>
    <row r="973" spans="1:5" x14ac:dyDescent="0.35">
      <c r="A973" t="s">
        <v>582</v>
      </c>
      <c r="B973" t="s">
        <v>1864</v>
      </c>
      <c r="C973">
        <v>6</v>
      </c>
      <c r="D973">
        <v>1179</v>
      </c>
      <c r="E973" t="s">
        <v>1865</v>
      </c>
    </row>
    <row r="974" spans="1:5" x14ac:dyDescent="0.35">
      <c r="A974" t="s">
        <v>582</v>
      </c>
      <c r="B974" t="s">
        <v>1866</v>
      </c>
      <c r="C974">
        <v>6</v>
      </c>
      <c r="D974">
        <v>1180</v>
      </c>
      <c r="E974" t="s">
        <v>1867</v>
      </c>
    </row>
    <row r="975" spans="1:5" x14ac:dyDescent="0.35">
      <c r="A975" t="s">
        <v>582</v>
      </c>
      <c r="B975" t="s">
        <v>1868</v>
      </c>
      <c r="C975">
        <v>6</v>
      </c>
      <c r="D975">
        <v>1181</v>
      </c>
      <c r="E975" t="s">
        <v>1869</v>
      </c>
    </row>
    <row r="976" spans="1:5" x14ac:dyDescent="0.35">
      <c r="A976" t="s">
        <v>582</v>
      </c>
      <c r="B976" t="s">
        <v>1870</v>
      </c>
      <c r="C976">
        <v>6</v>
      </c>
      <c r="D976">
        <v>1182</v>
      </c>
      <c r="E976" t="s">
        <v>1871</v>
      </c>
    </row>
    <row r="977" spans="1:5" x14ac:dyDescent="0.35">
      <c r="A977" t="s">
        <v>582</v>
      </c>
      <c r="B977" t="s">
        <v>1872</v>
      </c>
      <c r="C977">
        <v>6</v>
      </c>
      <c r="D977">
        <v>1183</v>
      </c>
      <c r="E977" t="s">
        <v>1873</v>
      </c>
    </row>
    <row r="978" spans="1:5" x14ac:dyDescent="0.35">
      <c r="A978" t="s">
        <v>582</v>
      </c>
      <c r="B978" t="s">
        <v>1874</v>
      </c>
      <c r="C978">
        <v>6</v>
      </c>
      <c r="D978">
        <v>1184</v>
      </c>
      <c r="E978" t="s">
        <v>1875</v>
      </c>
    </row>
    <row r="979" spans="1:5" x14ac:dyDescent="0.35">
      <c r="A979" t="s">
        <v>582</v>
      </c>
      <c r="B979" t="s">
        <v>1876</v>
      </c>
      <c r="C979">
        <v>6</v>
      </c>
      <c r="D979">
        <v>1185</v>
      </c>
      <c r="E979" t="s">
        <v>1877</v>
      </c>
    </row>
    <row r="980" spans="1:5" x14ac:dyDescent="0.35">
      <c r="A980" t="s">
        <v>582</v>
      </c>
      <c r="B980" t="s">
        <v>1878</v>
      </c>
      <c r="C980">
        <v>6</v>
      </c>
      <c r="D980">
        <v>1186</v>
      </c>
      <c r="E980" t="s">
        <v>1879</v>
      </c>
    </row>
    <row r="981" spans="1:5" x14ac:dyDescent="0.35">
      <c r="A981" t="s">
        <v>582</v>
      </c>
      <c r="B981" t="s">
        <v>1880</v>
      </c>
      <c r="C981">
        <v>6</v>
      </c>
      <c r="D981">
        <v>1187</v>
      </c>
      <c r="E981" t="s">
        <v>1881</v>
      </c>
    </row>
    <row r="982" spans="1:5" x14ac:dyDescent="0.35">
      <c r="A982" t="s">
        <v>582</v>
      </c>
      <c r="B982" t="s">
        <v>1882</v>
      </c>
      <c r="C982">
        <v>6</v>
      </c>
      <c r="D982">
        <v>1188</v>
      </c>
      <c r="E982" t="s">
        <v>1883</v>
      </c>
    </row>
    <row r="983" spans="1:5" x14ac:dyDescent="0.35">
      <c r="A983" t="s">
        <v>582</v>
      </c>
      <c r="B983" t="s">
        <v>1884</v>
      </c>
      <c r="C983">
        <v>6</v>
      </c>
      <c r="D983">
        <v>1189</v>
      </c>
      <c r="E983" t="s">
        <v>1885</v>
      </c>
    </row>
    <row r="984" spans="1:5" x14ac:dyDescent="0.35">
      <c r="A984" t="s">
        <v>582</v>
      </c>
      <c r="B984" t="s">
        <v>1886</v>
      </c>
      <c r="C984">
        <v>6</v>
      </c>
      <c r="D984">
        <v>1190</v>
      </c>
      <c r="E984" t="s">
        <v>1887</v>
      </c>
    </row>
    <row r="985" spans="1:5" x14ac:dyDescent="0.35">
      <c r="A985" t="s">
        <v>582</v>
      </c>
      <c r="B985" t="s">
        <v>1888</v>
      </c>
      <c r="C985">
        <v>6</v>
      </c>
      <c r="D985">
        <v>1853</v>
      </c>
      <c r="E985" t="s">
        <v>1889</v>
      </c>
    </row>
    <row r="986" spans="1:5" x14ac:dyDescent="0.35">
      <c r="A986" t="s">
        <v>582</v>
      </c>
      <c r="B986" t="s">
        <v>1890</v>
      </c>
      <c r="C986">
        <v>6</v>
      </c>
      <c r="D986">
        <v>1854</v>
      </c>
      <c r="E986" t="s">
        <v>1891</v>
      </c>
    </row>
    <row r="987" spans="1:5" x14ac:dyDescent="0.35">
      <c r="A987" t="s">
        <v>582</v>
      </c>
      <c r="B987" t="s">
        <v>1892</v>
      </c>
      <c r="C987">
        <v>6</v>
      </c>
      <c r="D987">
        <v>1855</v>
      </c>
      <c r="E987" t="s">
        <v>1893</v>
      </c>
    </row>
    <row r="988" spans="1:5" x14ac:dyDescent="0.35">
      <c r="A988" t="s">
        <v>582</v>
      </c>
      <c r="B988" t="s">
        <v>1894</v>
      </c>
      <c r="C988">
        <v>6</v>
      </c>
      <c r="D988">
        <v>1856</v>
      </c>
      <c r="E988" t="s">
        <v>1895</v>
      </c>
    </row>
    <row r="989" spans="1:5" x14ac:dyDescent="0.35">
      <c r="A989" t="s">
        <v>582</v>
      </c>
      <c r="B989" t="s">
        <v>1896</v>
      </c>
      <c r="C989">
        <v>6</v>
      </c>
      <c r="D989">
        <v>1857</v>
      </c>
      <c r="E989" t="s">
        <v>1897</v>
      </c>
    </row>
    <row r="990" spans="1:5" x14ac:dyDescent="0.35">
      <c r="A990" t="s">
        <v>582</v>
      </c>
      <c r="B990" t="s">
        <v>1898</v>
      </c>
      <c r="C990">
        <v>6</v>
      </c>
      <c r="D990">
        <v>1858</v>
      </c>
      <c r="E990" t="s">
        <v>1899</v>
      </c>
    </row>
    <row r="991" spans="1:5" x14ac:dyDescent="0.35">
      <c r="A991" t="s">
        <v>582</v>
      </c>
      <c r="B991" t="s">
        <v>1900</v>
      </c>
      <c r="C991">
        <v>6</v>
      </c>
      <c r="D991">
        <v>1859</v>
      </c>
      <c r="E991" t="s">
        <v>1901</v>
      </c>
    </row>
    <row r="992" spans="1:5" x14ac:dyDescent="0.35">
      <c r="A992" t="s">
        <v>582</v>
      </c>
      <c r="B992" t="s">
        <v>1902</v>
      </c>
      <c r="C992">
        <v>6</v>
      </c>
      <c r="D992">
        <v>1860</v>
      </c>
      <c r="E992" t="s">
        <v>1903</v>
      </c>
    </row>
    <row r="993" spans="1:5" x14ac:dyDescent="0.35">
      <c r="A993" t="s">
        <v>582</v>
      </c>
      <c r="B993" t="s">
        <v>1904</v>
      </c>
      <c r="C993">
        <v>6</v>
      </c>
      <c r="D993">
        <v>1861</v>
      </c>
      <c r="E993" t="s">
        <v>1905</v>
      </c>
    </row>
    <row r="994" spans="1:5" x14ac:dyDescent="0.35">
      <c r="A994" t="s">
        <v>582</v>
      </c>
      <c r="B994" t="s">
        <v>1906</v>
      </c>
      <c r="C994">
        <v>6</v>
      </c>
      <c r="D994">
        <v>1912</v>
      </c>
      <c r="E994" t="s">
        <v>1907</v>
      </c>
    </row>
    <row r="995" spans="1:5" x14ac:dyDescent="0.35">
      <c r="A995" t="s">
        <v>582</v>
      </c>
      <c r="B995" t="s">
        <v>1908</v>
      </c>
      <c r="C995">
        <v>6</v>
      </c>
      <c r="D995">
        <v>1913</v>
      </c>
      <c r="E995" t="s">
        <v>1909</v>
      </c>
    </row>
    <row r="996" spans="1:5" x14ac:dyDescent="0.35">
      <c r="A996" t="s">
        <v>582</v>
      </c>
      <c r="B996" t="s">
        <v>1910</v>
      </c>
      <c r="C996">
        <v>6</v>
      </c>
      <c r="D996">
        <v>1914</v>
      </c>
      <c r="E996" t="s">
        <v>1911</v>
      </c>
    </row>
    <row r="997" spans="1:5" x14ac:dyDescent="0.35">
      <c r="A997" t="s">
        <v>582</v>
      </c>
      <c r="B997" t="s">
        <v>1912</v>
      </c>
      <c r="C997">
        <v>6</v>
      </c>
      <c r="D997">
        <v>1915</v>
      </c>
      <c r="E997" t="s">
        <v>1913</v>
      </c>
    </row>
    <row r="998" spans="1:5" x14ac:dyDescent="0.35">
      <c r="A998" t="s">
        <v>582</v>
      </c>
      <c r="B998" t="s">
        <v>1914</v>
      </c>
      <c r="C998">
        <v>6</v>
      </c>
      <c r="D998">
        <v>1916</v>
      </c>
      <c r="E998" t="s">
        <v>1915</v>
      </c>
    </row>
    <row r="999" spans="1:5" x14ac:dyDescent="0.35">
      <c r="A999" t="s">
        <v>582</v>
      </c>
      <c r="B999" t="s">
        <v>1916</v>
      </c>
      <c r="C999">
        <v>6</v>
      </c>
      <c r="D999">
        <v>1917</v>
      </c>
      <c r="E999" t="s">
        <v>1917</v>
      </c>
    </row>
    <row r="1000" spans="1:5" x14ac:dyDescent="0.35">
      <c r="A1000" t="s">
        <v>582</v>
      </c>
      <c r="B1000" t="s">
        <v>1918</v>
      </c>
      <c r="C1000">
        <v>6</v>
      </c>
      <c r="D1000">
        <v>2070</v>
      </c>
      <c r="E1000" t="s">
        <v>1919</v>
      </c>
    </row>
    <row r="1001" spans="1:5" x14ac:dyDescent="0.35">
      <c r="A1001" t="s">
        <v>582</v>
      </c>
      <c r="B1001" t="s">
        <v>1920</v>
      </c>
      <c r="C1001">
        <v>6</v>
      </c>
      <c r="D1001">
        <v>2071</v>
      </c>
      <c r="E1001" t="s">
        <v>1921</v>
      </c>
    </row>
    <row r="1002" spans="1:5" x14ac:dyDescent="0.35">
      <c r="A1002" t="s">
        <v>582</v>
      </c>
      <c r="B1002" t="s">
        <v>1922</v>
      </c>
      <c r="C1002">
        <v>6</v>
      </c>
      <c r="D1002">
        <v>2072</v>
      </c>
      <c r="E1002" t="s">
        <v>1923</v>
      </c>
    </row>
    <row r="1003" spans="1:5" x14ac:dyDescent="0.35">
      <c r="A1003" t="s">
        <v>582</v>
      </c>
      <c r="B1003" t="s">
        <v>1924</v>
      </c>
      <c r="C1003">
        <v>6</v>
      </c>
      <c r="D1003">
        <v>2073</v>
      </c>
      <c r="E1003" t="s">
        <v>1925</v>
      </c>
    </row>
    <row r="1004" spans="1:5" x14ac:dyDescent="0.35">
      <c r="A1004" t="s">
        <v>582</v>
      </c>
      <c r="B1004" t="s">
        <v>1926</v>
      </c>
      <c r="C1004">
        <v>6</v>
      </c>
      <c r="D1004">
        <v>2074</v>
      </c>
      <c r="E1004" t="s">
        <v>1927</v>
      </c>
    </row>
    <row r="1005" spans="1:5" x14ac:dyDescent="0.35">
      <c r="A1005" t="s">
        <v>582</v>
      </c>
      <c r="B1005" t="s">
        <v>1928</v>
      </c>
      <c r="C1005">
        <v>6</v>
      </c>
      <c r="D1005">
        <v>2075</v>
      </c>
      <c r="E1005" t="s">
        <v>1929</v>
      </c>
    </row>
    <row r="1006" spans="1:5" x14ac:dyDescent="0.35">
      <c r="A1006" t="s">
        <v>582</v>
      </c>
      <c r="B1006" t="s">
        <v>1930</v>
      </c>
      <c r="C1006">
        <v>6</v>
      </c>
      <c r="D1006">
        <v>2076</v>
      </c>
      <c r="E1006" t="s">
        <v>1931</v>
      </c>
    </row>
    <row r="1007" spans="1:5" x14ac:dyDescent="0.35">
      <c r="A1007" t="s">
        <v>582</v>
      </c>
      <c r="B1007" t="s">
        <v>1932</v>
      </c>
      <c r="C1007">
        <v>6</v>
      </c>
      <c r="D1007">
        <v>2077</v>
      </c>
      <c r="E1007" t="s">
        <v>1933</v>
      </c>
    </row>
    <row r="1008" spans="1:5" x14ac:dyDescent="0.35">
      <c r="A1008" t="s">
        <v>582</v>
      </c>
      <c r="B1008" t="s">
        <v>1934</v>
      </c>
      <c r="C1008">
        <v>6</v>
      </c>
      <c r="D1008">
        <v>2078</v>
      </c>
      <c r="E1008" t="s">
        <v>1935</v>
      </c>
    </row>
    <row r="1009" spans="1:5" x14ac:dyDescent="0.35">
      <c r="A1009" t="s">
        <v>582</v>
      </c>
      <c r="B1009" t="s">
        <v>1936</v>
      </c>
      <c r="C1009">
        <v>6</v>
      </c>
      <c r="D1009">
        <v>2306</v>
      </c>
      <c r="E1009" t="s">
        <v>1937</v>
      </c>
    </row>
    <row r="1010" spans="1:5" x14ac:dyDescent="0.35">
      <c r="A1010" t="s">
        <v>582</v>
      </c>
      <c r="B1010" t="s">
        <v>1938</v>
      </c>
      <c r="C1010">
        <v>6</v>
      </c>
      <c r="D1010">
        <v>2309</v>
      </c>
      <c r="E1010" t="s">
        <v>1939</v>
      </c>
    </row>
    <row r="1011" spans="1:5" x14ac:dyDescent="0.35">
      <c r="A1011" t="s">
        <v>579</v>
      </c>
      <c r="B1011" t="s">
        <v>1940</v>
      </c>
      <c r="C1011">
        <v>5</v>
      </c>
      <c r="D1011">
        <v>1191</v>
      </c>
      <c r="E1011" t="s">
        <v>1941</v>
      </c>
    </row>
    <row r="1012" spans="1:5" x14ac:dyDescent="0.35">
      <c r="A1012" t="s">
        <v>582</v>
      </c>
      <c r="B1012" t="s">
        <v>1942</v>
      </c>
      <c r="C1012">
        <v>6</v>
      </c>
      <c r="D1012">
        <v>1192</v>
      </c>
      <c r="E1012" t="s">
        <v>1943</v>
      </c>
    </row>
    <row r="1013" spans="1:5" x14ac:dyDescent="0.35">
      <c r="A1013" t="s">
        <v>582</v>
      </c>
      <c r="B1013" t="s">
        <v>1944</v>
      </c>
      <c r="C1013">
        <v>6</v>
      </c>
      <c r="D1013">
        <v>1193</v>
      </c>
      <c r="E1013" t="s">
        <v>1945</v>
      </c>
    </row>
    <row r="1014" spans="1:5" x14ac:dyDescent="0.35">
      <c r="A1014" t="s">
        <v>582</v>
      </c>
      <c r="B1014" t="s">
        <v>1946</v>
      </c>
      <c r="C1014">
        <v>6</v>
      </c>
      <c r="D1014">
        <v>1194</v>
      </c>
      <c r="E1014" t="s">
        <v>1947</v>
      </c>
    </row>
    <row r="1015" spans="1:5" x14ac:dyDescent="0.35">
      <c r="A1015" t="s">
        <v>582</v>
      </c>
      <c r="B1015" t="s">
        <v>1948</v>
      </c>
      <c r="C1015">
        <v>6</v>
      </c>
      <c r="D1015">
        <v>1195</v>
      </c>
      <c r="E1015" t="s">
        <v>1949</v>
      </c>
    </row>
    <row r="1016" spans="1:5" x14ac:dyDescent="0.35">
      <c r="A1016" t="s">
        <v>582</v>
      </c>
      <c r="B1016" t="s">
        <v>1950</v>
      </c>
      <c r="C1016">
        <v>6</v>
      </c>
      <c r="D1016">
        <v>1196</v>
      </c>
      <c r="E1016" t="s">
        <v>1951</v>
      </c>
    </row>
    <row r="1017" spans="1:5" x14ac:dyDescent="0.35">
      <c r="A1017" t="s">
        <v>582</v>
      </c>
      <c r="B1017" t="s">
        <v>1952</v>
      </c>
      <c r="C1017">
        <v>6</v>
      </c>
      <c r="D1017">
        <v>1197</v>
      </c>
      <c r="E1017" t="s">
        <v>1953</v>
      </c>
    </row>
    <row r="1018" spans="1:5" x14ac:dyDescent="0.35">
      <c r="A1018" t="s">
        <v>582</v>
      </c>
      <c r="B1018" t="s">
        <v>1954</v>
      </c>
      <c r="C1018">
        <v>6</v>
      </c>
      <c r="D1018">
        <v>1198</v>
      </c>
      <c r="E1018" t="s">
        <v>1955</v>
      </c>
    </row>
    <row r="1019" spans="1:5" x14ac:dyDescent="0.35">
      <c r="A1019" t="s">
        <v>582</v>
      </c>
      <c r="B1019" t="s">
        <v>1956</v>
      </c>
      <c r="C1019">
        <v>6</v>
      </c>
      <c r="D1019">
        <v>1199</v>
      </c>
      <c r="E1019" t="s">
        <v>1957</v>
      </c>
    </row>
    <row r="1020" spans="1:5" x14ac:dyDescent="0.35">
      <c r="A1020" t="s">
        <v>582</v>
      </c>
      <c r="B1020" t="s">
        <v>1958</v>
      </c>
      <c r="C1020">
        <v>6</v>
      </c>
      <c r="D1020">
        <v>1200</v>
      </c>
      <c r="E1020" t="s">
        <v>1959</v>
      </c>
    </row>
    <row r="1021" spans="1:5" x14ac:dyDescent="0.35">
      <c r="A1021" t="s">
        <v>582</v>
      </c>
      <c r="B1021" t="s">
        <v>1960</v>
      </c>
      <c r="C1021">
        <v>6</v>
      </c>
      <c r="D1021">
        <v>1201</v>
      </c>
      <c r="E1021" t="s">
        <v>1961</v>
      </c>
    </row>
    <row r="1022" spans="1:5" x14ac:dyDescent="0.35">
      <c r="A1022" t="s">
        <v>582</v>
      </c>
      <c r="B1022" t="s">
        <v>1962</v>
      </c>
      <c r="C1022">
        <v>6</v>
      </c>
      <c r="D1022">
        <v>1202</v>
      </c>
      <c r="E1022" t="s">
        <v>1963</v>
      </c>
    </row>
    <row r="1023" spans="1:5" x14ac:dyDescent="0.35">
      <c r="A1023" t="s">
        <v>582</v>
      </c>
      <c r="B1023" t="s">
        <v>1964</v>
      </c>
      <c r="C1023">
        <v>6</v>
      </c>
      <c r="D1023">
        <v>1203</v>
      </c>
      <c r="E1023" t="s">
        <v>1965</v>
      </c>
    </row>
    <row r="1024" spans="1:5" x14ac:dyDescent="0.35">
      <c r="A1024" t="s">
        <v>582</v>
      </c>
      <c r="B1024" t="s">
        <v>1966</v>
      </c>
      <c r="C1024">
        <v>6</v>
      </c>
      <c r="D1024">
        <v>1204</v>
      </c>
      <c r="E1024" t="s">
        <v>1967</v>
      </c>
    </row>
    <row r="1025" spans="1:5" x14ac:dyDescent="0.35">
      <c r="A1025" t="s">
        <v>582</v>
      </c>
      <c r="B1025" t="s">
        <v>1968</v>
      </c>
      <c r="C1025">
        <v>6</v>
      </c>
      <c r="D1025">
        <v>1205</v>
      </c>
      <c r="E1025" t="s">
        <v>1969</v>
      </c>
    </row>
    <row r="1026" spans="1:5" x14ac:dyDescent="0.35">
      <c r="A1026" t="s">
        <v>582</v>
      </c>
      <c r="B1026" t="s">
        <v>1970</v>
      </c>
      <c r="C1026">
        <v>6</v>
      </c>
      <c r="D1026">
        <v>1206</v>
      </c>
      <c r="E1026" t="s">
        <v>1971</v>
      </c>
    </row>
    <row r="1027" spans="1:5" x14ac:dyDescent="0.35">
      <c r="A1027" t="s">
        <v>582</v>
      </c>
      <c r="B1027" t="s">
        <v>1972</v>
      </c>
      <c r="C1027">
        <v>6</v>
      </c>
      <c r="D1027">
        <v>1207</v>
      </c>
      <c r="E1027" t="s">
        <v>1973</v>
      </c>
    </row>
    <row r="1028" spans="1:5" x14ac:dyDescent="0.35">
      <c r="A1028" t="s">
        <v>582</v>
      </c>
      <c r="B1028" t="s">
        <v>1974</v>
      </c>
      <c r="C1028">
        <v>6</v>
      </c>
      <c r="D1028">
        <v>1208</v>
      </c>
      <c r="E1028" t="s">
        <v>1975</v>
      </c>
    </row>
    <row r="1029" spans="1:5" x14ac:dyDescent="0.35">
      <c r="A1029" t="s">
        <v>582</v>
      </c>
      <c r="B1029" t="s">
        <v>1976</v>
      </c>
      <c r="C1029">
        <v>6</v>
      </c>
      <c r="D1029">
        <v>1209</v>
      </c>
      <c r="E1029" t="s">
        <v>1977</v>
      </c>
    </row>
    <row r="1030" spans="1:5" x14ac:dyDescent="0.35">
      <c r="A1030" t="s">
        <v>582</v>
      </c>
      <c r="B1030" t="s">
        <v>1978</v>
      </c>
      <c r="C1030">
        <v>6</v>
      </c>
      <c r="D1030">
        <v>1210</v>
      </c>
      <c r="E1030" t="s">
        <v>1979</v>
      </c>
    </row>
    <row r="1031" spans="1:5" x14ac:dyDescent="0.35">
      <c r="A1031" t="s">
        <v>582</v>
      </c>
      <c r="B1031" t="s">
        <v>1980</v>
      </c>
      <c r="C1031">
        <v>6</v>
      </c>
      <c r="D1031">
        <v>1211</v>
      </c>
      <c r="E1031" t="s">
        <v>1981</v>
      </c>
    </row>
    <row r="1032" spans="1:5" x14ac:dyDescent="0.35">
      <c r="A1032" t="s">
        <v>582</v>
      </c>
      <c r="B1032" t="s">
        <v>1982</v>
      </c>
      <c r="C1032">
        <v>6</v>
      </c>
      <c r="D1032">
        <v>1212</v>
      </c>
      <c r="E1032" t="s">
        <v>1983</v>
      </c>
    </row>
    <row r="1033" spans="1:5" x14ac:dyDescent="0.35">
      <c r="A1033" t="s">
        <v>582</v>
      </c>
      <c r="B1033" t="s">
        <v>1984</v>
      </c>
      <c r="C1033">
        <v>6</v>
      </c>
      <c r="D1033">
        <v>1213</v>
      </c>
      <c r="E1033" t="s">
        <v>1985</v>
      </c>
    </row>
    <row r="1034" spans="1:5" x14ac:dyDescent="0.35">
      <c r="A1034" t="s">
        <v>582</v>
      </c>
      <c r="B1034" t="s">
        <v>1986</v>
      </c>
      <c r="C1034">
        <v>6</v>
      </c>
      <c r="D1034">
        <v>1214</v>
      </c>
      <c r="E1034" t="s">
        <v>1987</v>
      </c>
    </row>
    <row r="1035" spans="1:5" x14ac:dyDescent="0.35">
      <c r="A1035" t="s">
        <v>582</v>
      </c>
      <c r="B1035" t="s">
        <v>1988</v>
      </c>
      <c r="C1035">
        <v>6</v>
      </c>
      <c r="D1035">
        <v>1215</v>
      </c>
      <c r="E1035" t="s">
        <v>1989</v>
      </c>
    </row>
    <row r="1036" spans="1:5" x14ac:dyDescent="0.35">
      <c r="A1036" t="s">
        <v>582</v>
      </c>
      <c r="B1036" t="s">
        <v>1990</v>
      </c>
      <c r="C1036">
        <v>6</v>
      </c>
      <c r="D1036">
        <v>1216</v>
      </c>
      <c r="E1036" t="s">
        <v>1991</v>
      </c>
    </row>
    <row r="1037" spans="1:5" x14ac:dyDescent="0.35">
      <c r="A1037" t="s">
        <v>582</v>
      </c>
      <c r="B1037" t="s">
        <v>1992</v>
      </c>
      <c r="C1037">
        <v>6</v>
      </c>
      <c r="D1037">
        <v>1217</v>
      </c>
      <c r="E1037" t="s">
        <v>1993</v>
      </c>
    </row>
    <row r="1038" spans="1:5" x14ac:dyDescent="0.35">
      <c r="A1038" t="s">
        <v>582</v>
      </c>
      <c r="B1038" t="s">
        <v>1994</v>
      </c>
      <c r="C1038">
        <v>6</v>
      </c>
      <c r="D1038">
        <v>1218</v>
      </c>
      <c r="E1038" t="s">
        <v>1995</v>
      </c>
    </row>
    <row r="1039" spans="1:5" x14ac:dyDescent="0.35">
      <c r="A1039" t="s">
        <v>582</v>
      </c>
      <c r="B1039" t="s">
        <v>1996</v>
      </c>
      <c r="C1039">
        <v>6</v>
      </c>
      <c r="D1039">
        <v>1219</v>
      </c>
      <c r="E1039" t="s">
        <v>1997</v>
      </c>
    </row>
    <row r="1040" spans="1:5" x14ac:dyDescent="0.35">
      <c r="A1040" t="s">
        <v>582</v>
      </c>
      <c r="B1040" t="s">
        <v>1998</v>
      </c>
      <c r="C1040">
        <v>6</v>
      </c>
      <c r="D1040">
        <v>1220</v>
      </c>
      <c r="E1040" t="s">
        <v>1999</v>
      </c>
    </row>
    <row r="1041" spans="1:5" x14ac:dyDescent="0.35">
      <c r="A1041" t="s">
        <v>582</v>
      </c>
      <c r="B1041" t="s">
        <v>2000</v>
      </c>
      <c r="C1041">
        <v>6</v>
      </c>
      <c r="D1041">
        <v>1221</v>
      </c>
      <c r="E1041" t="s">
        <v>2001</v>
      </c>
    </row>
    <row r="1042" spans="1:5" x14ac:dyDescent="0.35">
      <c r="A1042" t="s">
        <v>582</v>
      </c>
      <c r="B1042" t="s">
        <v>2002</v>
      </c>
      <c r="C1042">
        <v>6</v>
      </c>
      <c r="D1042">
        <v>1222</v>
      </c>
      <c r="E1042" t="s">
        <v>2003</v>
      </c>
    </row>
    <row r="1043" spans="1:5" x14ac:dyDescent="0.35">
      <c r="A1043" t="s">
        <v>582</v>
      </c>
      <c r="B1043" t="s">
        <v>2004</v>
      </c>
      <c r="C1043">
        <v>6</v>
      </c>
      <c r="D1043">
        <v>1223</v>
      </c>
      <c r="E1043" t="s">
        <v>2005</v>
      </c>
    </row>
    <row r="1044" spans="1:5" x14ac:dyDescent="0.35">
      <c r="A1044" t="s">
        <v>582</v>
      </c>
      <c r="B1044" t="s">
        <v>2006</v>
      </c>
      <c r="C1044">
        <v>6</v>
      </c>
      <c r="D1044">
        <v>1224</v>
      </c>
      <c r="E1044" t="s">
        <v>2007</v>
      </c>
    </row>
    <row r="1045" spans="1:5" x14ac:dyDescent="0.35">
      <c r="A1045" t="s">
        <v>582</v>
      </c>
      <c r="B1045" t="s">
        <v>2008</v>
      </c>
      <c r="C1045">
        <v>6</v>
      </c>
      <c r="D1045">
        <v>1225</v>
      </c>
      <c r="E1045" t="s">
        <v>2009</v>
      </c>
    </row>
    <row r="1046" spans="1:5" x14ac:dyDescent="0.35">
      <c r="A1046" t="s">
        <v>582</v>
      </c>
      <c r="B1046" t="s">
        <v>2010</v>
      </c>
      <c r="C1046">
        <v>6</v>
      </c>
      <c r="D1046">
        <v>1226</v>
      </c>
      <c r="E1046" t="s">
        <v>2011</v>
      </c>
    </row>
    <row r="1047" spans="1:5" x14ac:dyDescent="0.35">
      <c r="A1047" t="s">
        <v>582</v>
      </c>
      <c r="B1047" t="s">
        <v>2012</v>
      </c>
      <c r="C1047">
        <v>6</v>
      </c>
      <c r="D1047">
        <v>1227</v>
      </c>
      <c r="E1047" t="s">
        <v>2013</v>
      </c>
    </row>
    <row r="1048" spans="1:5" x14ac:dyDescent="0.35">
      <c r="A1048" t="s">
        <v>582</v>
      </c>
      <c r="B1048" t="s">
        <v>2014</v>
      </c>
      <c r="C1048">
        <v>6</v>
      </c>
      <c r="D1048">
        <v>1228</v>
      </c>
      <c r="E1048" t="s">
        <v>2015</v>
      </c>
    </row>
    <row r="1049" spans="1:5" x14ac:dyDescent="0.35">
      <c r="A1049" t="s">
        <v>582</v>
      </c>
      <c r="B1049" t="s">
        <v>2016</v>
      </c>
      <c r="C1049">
        <v>6</v>
      </c>
      <c r="D1049">
        <v>1229</v>
      </c>
      <c r="E1049" t="s">
        <v>2017</v>
      </c>
    </row>
    <row r="1050" spans="1:5" x14ac:dyDescent="0.35">
      <c r="A1050" t="s">
        <v>582</v>
      </c>
      <c r="B1050" t="s">
        <v>2018</v>
      </c>
      <c r="C1050">
        <v>6</v>
      </c>
      <c r="D1050">
        <v>1230</v>
      </c>
      <c r="E1050" t="s">
        <v>2019</v>
      </c>
    </row>
    <row r="1051" spans="1:5" x14ac:dyDescent="0.35">
      <c r="A1051" t="s">
        <v>582</v>
      </c>
      <c r="B1051" t="s">
        <v>2020</v>
      </c>
      <c r="C1051">
        <v>6</v>
      </c>
      <c r="D1051">
        <v>1231</v>
      </c>
      <c r="E1051" t="s">
        <v>2021</v>
      </c>
    </row>
    <row r="1052" spans="1:5" x14ac:dyDescent="0.35">
      <c r="A1052" t="s">
        <v>582</v>
      </c>
      <c r="B1052" t="s">
        <v>2022</v>
      </c>
      <c r="C1052">
        <v>6</v>
      </c>
      <c r="D1052">
        <v>1862</v>
      </c>
      <c r="E1052" t="s">
        <v>2023</v>
      </c>
    </row>
    <row r="1053" spans="1:5" x14ac:dyDescent="0.35">
      <c r="A1053" t="s">
        <v>582</v>
      </c>
      <c r="B1053" t="s">
        <v>2024</v>
      </c>
      <c r="C1053">
        <v>6</v>
      </c>
      <c r="D1053">
        <v>1863</v>
      </c>
      <c r="E1053" t="s">
        <v>2025</v>
      </c>
    </row>
    <row r="1054" spans="1:5" x14ac:dyDescent="0.35">
      <c r="A1054" t="s">
        <v>582</v>
      </c>
      <c r="B1054" t="s">
        <v>2026</v>
      </c>
      <c r="C1054">
        <v>6</v>
      </c>
      <c r="D1054">
        <v>1864</v>
      </c>
      <c r="E1054" t="s">
        <v>2027</v>
      </c>
    </row>
    <row r="1055" spans="1:5" x14ac:dyDescent="0.35">
      <c r="A1055" t="s">
        <v>582</v>
      </c>
      <c r="B1055" t="s">
        <v>2028</v>
      </c>
      <c r="C1055">
        <v>6</v>
      </c>
      <c r="D1055">
        <v>1865</v>
      </c>
      <c r="E1055" t="s">
        <v>2029</v>
      </c>
    </row>
    <row r="1056" spans="1:5" x14ac:dyDescent="0.35">
      <c r="A1056" t="s">
        <v>582</v>
      </c>
      <c r="B1056" t="s">
        <v>2030</v>
      </c>
      <c r="C1056">
        <v>6</v>
      </c>
      <c r="D1056">
        <v>1866</v>
      </c>
      <c r="E1056" t="s">
        <v>2031</v>
      </c>
    </row>
    <row r="1057" spans="1:5" x14ac:dyDescent="0.35">
      <c r="A1057" t="s">
        <v>582</v>
      </c>
      <c r="B1057" t="s">
        <v>2032</v>
      </c>
      <c r="C1057">
        <v>6</v>
      </c>
      <c r="D1057">
        <v>1867</v>
      </c>
      <c r="E1057" t="s">
        <v>2033</v>
      </c>
    </row>
    <row r="1058" spans="1:5" x14ac:dyDescent="0.35">
      <c r="A1058" t="s">
        <v>582</v>
      </c>
      <c r="B1058" t="s">
        <v>2034</v>
      </c>
      <c r="C1058">
        <v>6</v>
      </c>
      <c r="D1058">
        <v>1918</v>
      </c>
      <c r="E1058" t="s">
        <v>2035</v>
      </c>
    </row>
    <row r="1059" spans="1:5" x14ac:dyDescent="0.35">
      <c r="A1059" t="s">
        <v>582</v>
      </c>
      <c r="B1059" t="s">
        <v>2036</v>
      </c>
      <c r="C1059">
        <v>6</v>
      </c>
      <c r="D1059">
        <v>1919</v>
      </c>
      <c r="E1059" t="s">
        <v>2037</v>
      </c>
    </row>
    <row r="1060" spans="1:5" x14ac:dyDescent="0.35">
      <c r="A1060" t="s">
        <v>582</v>
      </c>
      <c r="B1060" t="s">
        <v>2038</v>
      </c>
      <c r="C1060">
        <v>6</v>
      </c>
      <c r="D1060">
        <v>1940</v>
      </c>
      <c r="E1060" t="s">
        <v>2039</v>
      </c>
    </row>
    <row r="1061" spans="1:5" x14ac:dyDescent="0.35">
      <c r="A1061" t="s">
        <v>582</v>
      </c>
      <c r="B1061" t="s">
        <v>2040</v>
      </c>
      <c r="C1061">
        <v>6</v>
      </c>
      <c r="D1061">
        <v>1941</v>
      </c>
      <c r="E1061" t="s">
        <v>2041</v>
      </c>
    </row>
    <row r="1062" spans="1:5" x14ac:dyDescent="0.35">
      <c r="A1062" t="s">
        <v>582</v>
      </c>
      <c r="B1062" t="s">
        <v>2042</v>
      </c>
      <c r="C1062">
        <v>6</v>
      </c>
      <c r="D1062">
        <v>2079</v>
      </c>
      <c r="E1062" t="s">
        <v>2043</v>
      </c>
    </row>
    <row r="1063" spans="1:5" x14ac:dyDescent="0.35">
      <c r="A1063" t="s">
        <v>582</v>
      </c>
      <c r="B1063" t="s">
        <v>2044</v>
      </c>
      <c r="C1063">
        <v>6</v>
      </c>
      <c r="D1063">
        <v>2080</v>
      </c>
      <c r="E1063" t="s">
        <v>2045</v>
      </c>
    </row>
    <row r="1064" spans="1:5" x14ac:dyDescent="0.35">
      <c r="A1064" t="s">
        <v>582</v>
      </c>
      <c r="B1064" t="s">
        <v>2046</v>
      </c>
      <c r="C1064">
        <v>6</v>
      </c>
      <c r="D1064">
        <v>2081</v>
      </c>
      <c r="E1064" t="s">
        <v>2047</v>
      </c>
    </row>
    <row r="1065" spans="1:5" x14ac:dyDescent="0.35">
      <c r="A1065" t="s">
        <v>582</v>
      </c>
      <c r="B1065" t="s">
        <v>2048</v>
      </c>
      <c r="C1065">
        <v>6</v>
      </c>
      <c r="D1065">
        <v>2082</v>
      </c>
      <c r="E1065" t="s">
        <v>2049</v>
      </c>
    </row>
    <row r="1066" spans="1:5" x14ac:dyDescent="0.35">
      <c r="A1066" t="s">
        <v>582</v>
      </c>
      <c r="B1066" t="s">
        <v>2050</v>
      </c>
      <c r="C1066">
        <v>6</v>
      </c>
      <c r="D1066">
        <v>2083</v>
      </c>
      <c r="E1066" t="s">
        <v>2051</v>
      </c>
    </row>
    <row r="1067" spans="1:5" x14ac:dyDescent="0.35">
      <c r="A1067" t="s">
        <v>582</v>
      </c>
      <c r="B1067" t="s">
        <v>2052</v>
      </c>
      <c r="C1067">
        <v>6</v>
      </c>
      <c r="D1067">
        <v>2084</v>
      </c>
      <c r="E1067" t="s">
        <v>2053</v>
      </c>
    </row>
    <row r="1068" spans="1:5" x14ac:dyDescent="0.35">
      <c r="A1068" t="s">
        <v>579</v>
      </c>
      <c r="B1068" t="s">
        <v>2054</v>
      </c>
      <c r="C1068">
        <v>3</v>
      </c>
      <c r="D1068">
        <v>1232</v>
      </c>
      <c r="E1068" t="s">
        <v>2055</v>
      </c>
    </row>
    <row r="1069" spans="1:5" x14ac:dyDescent="0.35">
      <c r="A1069" t="s">
        <v>579</v>
      </c>
      <c r="B1069" t="s">
        <v>2056</v>
      </c>
      <c r="C1069">
        <v>4</v>
      </c>
      <c r="D1069">
        <v>1233</v>
      </c>
      <c r="E1069" t="s">
        <v>2057</v>
      </c>
    </row>
    <row r="1070" spans="1:5" x14ac:dyDescent="0.35">
      <c r="A1070" t="s">
        <v>579</v>
      </c>
      <c r="B1070" t="s">
        <v>2058</v>
      </c>
      <c r="C1070">
        <v>5</v>
      </c>
      <c r="D1070">
        <v>1234</v>
      </c>
      <c r="E1070" t="s">
        <v>445</v>
      </c>
    </row>
    <row r="1071" spans="1:5" x14ac:dyDescent="0.35">
      <c r="A1071" t="s">
        <v>582</v>
      </c>
      <c r="B1071" t="s">
        <v>2059</v>
      </c>
      <c r="C1071">
        <v>6</v>
      </c>
      <c r="D1071">
        <v>1235</v>
      </c>
      <c r="E1071" t="s">
        <v>447</v>
      </c>
    </row>
    <row r="1072" spans="1:5" x14ac:dyDescent="0.35">
      <c r="A1072" t="s">
        <v>582</v>
      </c>
      <c r="B1072" t="s">
        <v>2060</v>
      </c>
      <c r="C1072">
        <v>6</v>
      </c>
      <c r="D1072">
        <v>1236</v>
      </c>
      <c r="E1072" t="s">
        <v>1754</v>
      </c>
    </row>
    <row r="1073" spans="1:5" x14ac:dyDescent="0.35">
      <c r="A1073" t="s">
        <v>582</v>
      </c>
      <c r="B1073" t="s">
        <v>2061</v>
      </c>
      <c r="C1073">
        <v>6</v>
      </c>
      <c r="D1073">
        <v>1237</v>
      </c>
      <c r="E1073" t="s">
        <v>572</v>
      </c>
    </row>
    <row r="1074" spans="1:5" x14ac:dyDescent="0.35">
      <c r="A1074" t="s">
        <v>582</v>
      </c>
      <c r="B1074" t="s">
        <v>2062</v>
      </c>
      <c r="C1074">
        <v>6</v>
      </c>
      <c r="D1074">
        <v>1238</v>
      </c>
      <c r="E1074" t="s">
        <v>1756</v>
      </c>
    </row>
    <row r="1075" spans="1:5" x14ac:dyDescent="0.35">
      <c r="A1075" t="s">
        <v>582</v>
      </c>
      <c r="B1075" t="s">
        <v>2063</v>
      </c>
      <c r="C1075">
        <v>6</v>
      </c>
      <c r="D1075">
        <v>2039</v>
      </c>
      <c r="E1075" t="s">
        <v>2064</v>
      </c>
    </row>
    <row r="1076" spans="1:5" x14ac:dyDescent="0.35">
      <c r="A1076" t="s">
        <v>582</v>
      </c>
      <c r="B1076" t="s">
        <v>2065</v>
      </c>
      <c r="C1076">
        <v>6</v>
      </c>
      <c r="D1076">
        <v>2040</v>
      </c>
      <c r="E1076" t="s">
        <v>2066</v>
      </c>
    </row>
    <row r="1077" spans="1:5" x14ac:dyDescent="0.35">
      <c r="A1077" t="s">
        <v>579</v>
      </c>
      <c r="B1077" t="s">
        <v>2067</v>
      </c>
      <c r="C1077">
        <v>4</v>
      </c>
      <c r="D1077">
        <v>1239</v>
      </c>
      <c r="E1077" t="s">
        <v>2068</v>
      </c>
    </row>
    <row r="1078" spans="1:5" x14ac:dyDescent="0.35">
      <c r="A1078" t="s">
        <v>579</v>
      </c>
      <c r="B1078" t="s">
        <v>2069</v>
      </c>
      <c r="C1078">
        <v>5</v>
      </c>
      <c r="D1078">
        <v>1240</v>
      </c>
      <c r="E1078" t="s">
        <v>1767</v>
      </c>
    </row>
    <row r="1079" spans="1:5" x14ac:dyDescent="0.35">
      <c r="A1079" t="s">
        <v>582</v>
      </c>
      <c r="B1079" t="s">
        <v>2070</v>
      </c>
      <c r="C1079">
        <v>6</v>
      </c>
      <c r="D1079">
        <v>1241</v>
      </c>
      <c r="E1079" t="s">
        <v>2071</v>
      </c>
    </row>
    <row r="1080" spans="1:5" x14ac:dyDescent="0.35">
      <c r="A1080" t="s">
        <v>582</v>
      </c>
      <c r="B1080" t="s">
        <v>2072</v>
      </c>
      <c r="C1080">
        <v>6</v>
      </c>
      <c r="D1080">
        <v>1242</v>
      </c>
      <c r="E1080" t="s">
        <v>2073</v>
      </c>
    </row>
    <row r="1081" spans="1:5" x14ac:dyDescent="0.35">
      <c r="A1081" t="s">
        <v>582</v>
      </c>
      <c r="B1081" t="s">
        <v>2074</v>
      </c>
      <c r="C1081">
        <v>6</v>
      </c>
      <c r="D1081">
        <v>1243</v>
      </c>
      <c r="E1081" t="s">
        <v>2075</v>
      </c>
    </row>
    <row r="1082" spans="1:5" x14ac:dyDescent="0.35">
      <c r="A1082" t="s">
        <v>582</v>
      </c>
      <c r="B1082" t="s">
        <v>2076</v>
      </c>
      <c r="C1082">
        <v>6</v>
      </c>
      <c r="D1082">
        <v>1244</v>
      </c>
      <c r="E1082" t="s">
        <v>2077</v>
      </c>
    </row>
    <row r="1083" spans="1:5" x14ac:dyDescent="0.35">
      <c r="A1083" t="s">
        <v>582</v>
      </c>
      <c r="B1083" t="s">
        <v>2078</v>
      </c>
      <c r="C1083">
        <v>6</v>
      </c>
      <c r="D1083">
        <v>1245</v>
      </c>
      <c r="E1083" t="s">
        <v>2079</v>
      </c>
    </row>
    <row r="1084" spans="1:5" x14ac:dyDescent="0.35">
      <c r="A1084" t="s">
        <v>582</v>
      </c>
      <c r="B1084" t="s">
        <v>2080</v>
      </c>
      <c r="C1084">
        <v>6</v>
      </c>
      <c r="D1084">
        <v>1246</v>
      </c>
      <c r="E1084" t="s">
        <v>2081</v>
      </c>
    </row>
    <row r="1085" spans="1:5" x14ac:dyDescent="0.35">
      <c r="A1085" t="s">
        <v>582</v>
      </c>
      <c r="B1085" t="s">
        <v>2082</v>
      </c>
      <c r="C1085">
        <v>6</v>
      </c>
      <c r="D1085">
        <v>1247</v>
      </c>
      <c r="E1085" t="s">
        <v>2083</v>
      </c>
    </row>
    <row r="1086" spans="1:5" x14ac:dyDescent="0.35">
      <c r="A1086" t="s">
        <v>582</v>
      </c>
      <c r="B1086" t="s">
        <v>2084</v>
      </c>
      <c r="C1086">
        <v>6</v>
      </c>
      <c r="D1086">
        <v>1248</v>
      </c>
      <c r="E1086" t="s">
        <v>2085</v>
      </c>
    </row>
    <row r="1087" spans="1:5" x14ac:dyDescent="0.35">
      <c r="A1087" t="s">
        <v>582</v>
      </c>
      <c r="B1087" t="s">
        <v>2086</v>
      </c>
      <c r="C1087">
        <v>6</v>
      </c>
      <c r="D1087">
        <v>1249</v>
      </c>
      <c r="E1087" t="s">
        <v>2087</v>
      </c>
    </row>
    <row r="1088" spans="1:5" x14ac:dyDescent="0.35">
      <c r="A1088" t="s">
        <v>582</v>
      </c>
      <c r="B1088" t="s">
        <v>2088</v>
      </c>
      <c r="C1088">
        <v>6</v>
      </c>
      <c r="D1088">
        <v>1250</v>
      </c>
      <c r="E1088" t="s">
        <v>2089</v>
      </c>
    </row>
    <row r="1089" spans="1:5" x14ac:dyDescent="0.35">
      <c r="A1089" t="s">
        <v>582</v>
      </c>
      <c r="B1089" t="s">
        <v>2090</v>
      </c>
      <c r="C1089">
        <v>6</v>
      </c>
      <c r="D1089">
        <v>1251</v>
      </c>
      <c r="E1089" t="s">
        <v>2091</v>
      </c>
    </row>
    <row r="1090" spans="1:5" x14ac:dyDescent="0.35">
      <c r="A1090" t="s">
        <v>582</v>
      </c>
      <c r="B1090" t="s">
        <v>2092</v>
      </c>
      <c r="C1090">
        <v>6</v>
      </c>
      <c r="D1090">
        <v>1252</v>
      </c>
      <c r="E1090" t="s">
        <v>2093</v>
      </c>
    </row>
    <row r="1091" spans="1:5" x14ac:dyDescent="0.35">
      <c r="A1091" t="s">
        <v>582</v>
      </c>
      <c r="B1091" t="s">
        <v>2094</v>
      </c>
      <c r="C1091">
        <v>6</v>
      </c>
      <c r="D1091">
        <v>1253</v>
      </c>
      <c r="E1091" t="s">
        <v>2095</v>
      </c>
    </row>
    <row r="1092" spans="1:5" x14ac:dyDescent="0.35">
      <c r="A1092" t="s">
        <v>582</v>
      </c>
      <c r="B1092" t="s">
        <v>2096</v>
      </c>
      <c r="C1092">
        <v>6</v>
      </c>
      <c r="D1092">
        <v>1254</v>
      </c>
      <c r="E1092" t="s">
        <v>2097</v>
      </c>
    </row>
    <row r="1093" spans="1:5" x14ac:dyDescent="0.35">
      <c r="A1093" t="s">
        <v>582</v>
      </c>
      <c r="B1093" t="s">
        <v>2098</v>
      </c>
      <c r="C1093">
        <v>6</v>
      </c>
      <c r="D1093">
        <v>1255</v>
      </c>
      <c r="E1093" t="s">
        <v>2099</v>
      </c>
    </row>
    <row r="1094" spans="1:5" x14ac:dyDescent="0.35">
      <c r="A1094" t="s">
        <v>582</v>
      </c>
      <c r="B1094" t="s">
        <v>2100</v>
      </c>
      <c r="C1094">
        <v>6</v>
      </c>
      <c r="D1094">
        <v>1256</v>
      </c>
      <c r="E1094" t="s">
        <v>2101</v>
      </c>
    </row>
    <row r="1095" spans="1:5" x14ac:dyDescent="0.35">
      <c r="A1095" t="s">
        <v>582</v>
      </c>
      <c r="B1095" t="s">
        <v>2102</v>
      </c>
      <c r="C1095">
        <v>6</v>
      </c>
      <c r="D1095">
        <v>1257</v>
      </c>
      <c r="E1095" t="s">
        <v>2103</v>
      </c>
    </row>
    <row r="1096" spans="1:5" x14ac:dyDescent="0.35">
      <c r="A1096" t="s">
        <v>582</v>
      </c>
      <c r="B1096" t="s">
        <v>2104</v>
      </c>
      <c r="C1096">
        <v>6</v>
      </c>
      <c r="D1096">
        <v>1258</v>
      </c>
      <c r="E1096" t="s">
        <v>2105</v>
      </c>
    </row>
    <row r="1097" spans="1:5" x14ac:dyDescent="0.35">
      <c r="A1097" t="s">
        <v>582</v>
      </c>
      <c r="B1097" t="s">
        <v>2106</v>
      </c>
      <c r="C1097">
        <v>6</v>
      </c>
      <c r="D1097">
        <v>1259</v>
      </c>
      <c r="E1097" t="s">
        <v>2107</v>
      </c>
    </row>
    <row r="1098" spans="1:5" x14ac:dyDescent="0.35">
      <c r="A1098" t="s">
        <v>582</v>
      </c>
      <c r="B1098" t="s">
        <v>2108</v>
      </c>
      <c r="C1098">
        <v>6</v>
      </c>
      <c r="D1098">
        <v>1260</v>
      </c>
      <c r="E1098" t="s">
        <v>2109</v>
      </c>
    </row>
    <row r="1099" spans="1:5" x14ac:dyDescent="0.35">
      <c r="A1099" t="s">
        <v>582</v>
      </c>
      <c r="B1099" t="s">
        <v>2110</v>
      </c>
      <c r="C1099">
        <v>6</v>
      </c>
      <c r="D1099">
        <v>1261</v>
      </c>
      <c r="E1099" t="s">
        <v>2111</v>
      </c>
    </row>
    <row r="1100" spans="1:5" x14ac:dyDescent="0.35">
      <c r="A1100" t="s">
        <v>582</v>
      </c>
      <c r="B1100" t="s">
        <v>2112</v>
      </c>
      <c r="C1100">
        <v>6</v>
      </c>
      <c r="D1100">
        <v>1262</v>
      </c>
      <c r="E1100" t="s">
        <v>2113</v>
      </c>
    </row>
    <row r="1101" spans="1:5" x14ac:dyDescent="0.35">
      <c r="A1101" t="s">
        <v>582</v>
      </c>
      <c r="B1101" t="s">
        <v>2114</v>
      </c>
      <c r="C1101">
        <v>6</v>
      </c>
      <c r="D1101">
        <v>1263</v>
      </c>
      <c r="E1101" t="s">
        <v>2115</v>
      </c>
    </row>
    <row r="1102" spans="1:5" x14ac:dyDescent="0.35">
      <c r="A1102" t="s">
        <v>582</v>
      </c>
      <c r="B1102" t="s">
        <v>2116</v>
      </c>
      <c r="C1102">
        <v>6</v>
      </c>
      <c r="D1102">
        <v>1264</v>
      </c>
      <c r="E1102" t="s">
        <v>2117</v>
      </c>
    </row>
    <row r="1103" spans="1:5" x14ac:dyDescent="0.35">
      <c r="A1103" t="s">
        <v>582</v>
      </c>
      <c r="B1103" t="s">
        <v>2118</v>
      </c>
      <c r="C1103">
        <v>6</v>
      </c>
      <c r="D1103">
        <v>1265</v>
      </c>
      <c r="E1103" t="s">
        <v>2119</v>
      </c>
    </row>
    <row r="1104" spans="1:5" x14ac:dyDescent="0.35">
      <c r="A1104" t="s">
        <v>582</v>
      </c>
      <c r="B1104" t="s">
        <v>2120</v>
      </c>
      <c r="C1104">
        <v>6</v>
      </c>
      <c r="D1104">
        <v>1266</v>
      </c>
      <c r="E1104" t="s">
        <v>2121</v>
      </c>
    </row>
    <row r="1105" spans="1:5" x14ac:dyDescent="0.35">
      <c r="A1105" t="s">
        <v>582</v>
      </c>
      <c r="B1105" t="s">
        <v>2122</v>
      </c>
      <c r="C1105">
        <v>6</v>
      </c>
      <c r="D1105">
        <v>1267</v>
      </c>
      <c r="E1105" t="s">
        <v>2123</v>
      </c>
    </row>
    <row r="1106" spans="1:5" x14ac:dyDescent="0.35">
      <c r="A1106" t="s">
        <v>582</v>
      </c>
      <c r="B1106" t="s">
        <v>2124</v>
      </c>
      <c r="C1106">
        <v>6</v>
      </c>
      <c r="D1106">
        <v>1268</v>
      </c>
      <c r="E1106" t="s">
        <v>2125</v>
      </c>
    </row>
    <row r="1107" spans="1:5" x14ac:dyDescent="0.35">
      <c r="A1107" t="s">
        <v>582</v>
      </c>
      <c r="B1107" t="s">
        <v>2126</v>
      </c>
      <c r="C1107">
        <v>6</v>
      </c>
      <c r="D1107">
        <v>1269</v>
      </c>
      <c r="E1107" t="s">
        <v>2127</v>
      </c>
    </row>
    <row r="1108" spans="1:5" x14ac:dyDescent="0.35">
      <c r="A1108" t="s">
        <v>582</v>
      </c>
      <c r="B1108" t="s">
        <v>2128</v>
      </c>
      <c r="C1108">
        <v>6</v>
      </c>
      <c r="D1108">
        <v>1270</v>
      </c>
      <c r="E1108" t="s">
        <v>2129</v>
      </c>
    </row>
    <row r="1109" spans="1:5" x14ac:dyDescent="0.35">
      <c r="A1109" t="s">
        <v>582</v>
      </c>
      <c r="B1109" t="s">
        <v>2130</v>
      </c>
      <c r="C1109">
        <v>6</v>
      </c>
      <c r="D1109">
        <v>1871</v>
      </c>
      <c r="E1109" t="s">
        <v>2131</v>
      </c>
    </row>
    <row r="1110" spans="1:5" x14ac:dyDescent="0.35">
      <c r="A1110" t="s">
        <v>582</v>
      </c>
      <c r="B1110" t="s">
        <v>2132</v>
      </c>
      <c r="C1110">
        <v>6</v>
      </c>
      <c r="D1110">
        <v>1872</v>
      </c>
      <c r="E1110" t="s">
        <v>2133</v>
      </c>
    </row>
    <row r="1111" spans="1:5" x14ac:dyDescent="0.35">
      <c r="A1111" t="s">
        <v>582</v>
      </c>
      <c r="B1111" t="s">
        <v>2134</v>
      </c>
      <c r="C1111">
        <v>6</v>
      </c>
      <c r="D1111">
        <v>1873</v>
      </c>
      <c r="E1111" t="s">
        <v>2135</v>
      </c>
    </row>
    <row r="1112" spans="1:5" x14ac:dyDescent="0.35">
      <c r="A1112" t="s">
        <v>582</v>
      </c>
      <c r="B1112" t="s">
        <v>2136</v>
      </c>
      <c r="C1112">
        <v>6</v>
      </c>
      <c r="D1112">
        <v>2041</v>
      </c>
      <c r="E1112" t="s">
        <v>2137</v>
      </c>
    </row>
    <row r="1113" spans="1:5" x14ac:dyDescent="0.35">
      <c r="A1113" t="s">
        <v>582</v>
      </c>
      <c r="B1113" t="s">
        <v>2138</v>
      </c>
      <c r="C1113">
        <v>6</v>
      </c>
      <c r="D1113">
        <v>2042</v>
      </c>
      <c r="E1113" t="s">
        <v>2139</v>
      </c>
    </row>
    <row r="1114" spans="1:5" x14ac:dyDescent="0.35">
      <c r="A1114" t="s">
        <v>582</v>
      </c>
      <c r="B1114" t="s">
        <v>2140</v>
      </c>
      <c r="C1114">
        <v>6</v>
      </c>
      <c r="D1114">
        <v>2043</v>
      </c>
      <c r="E1114" t="s">
        <v>2141</v>
      </c>
    </row>
    <row r="1115" spans="1:5" x14ac:dyDescent="0.35">
      <c r="A1115" t="s">
        <v>582</v>
      </c>
      <c r="B1115" t="s">
        <v>2142</v>
      </c>
      <c r="C1115">
        <v>6</v>
      </c>
      <c r="D1115">
        <v>2310</v>
      </c>
      <c r="E1115" t="s">
        <v>1939</v>
      </c>
    </row>
    <row r="1116" spans="1:5" x14ac:dyDescent="0.35">
      <c r="A1116" t="s">
        <v>579</v>
      </c>
      <c r="B1116" t="s">
        <v>2143</v>
      </c>
      <c r="C1116">
        <v>5</v>
      </c>
      <c r="D1116">
        <v>1271</v>
      </c>
      <c r="E1116" t="s">
        <v>1941</v>
      </c>
    </row>
    <row r="1117" spans="1:5" x14ac:dyDescent="0.35">
      <c r="A1117" t="s">
        <v>582</v>
      </c>
      <c r="B1117" t="s">
        <v>2144</v>
      </c>
      <c r="C1117">
        <v>6</v>
      </c>
      <c r="D1117">
        <v>1272</v>
      </c>
      <c r="E1117" t="s">
        <v>2145</v>
      </c>
    </row>
    <row r="1118" spans="1:5" x14ac:dyDescent="0.35">
      <c r="A1118" t="s">
        <v>582</v>
      </c>
      <c r="B1118" t="s">
        <v>2146</v>
      </c>
      <c r="C1118">
        <v>6</v>
      </c>
      <c r="D1118">
        <v>1273</v>
      </c>
      <c r="E1118" t="s">
        <v>2147</v>
      </c>
    </row>
    <row r="1119" spans="1:5" x14ac:dyDescent="0.35">
      <c r="A1119" t="s">
        <v>582</v>
      </c>
      <c r="B1119" t="s">
        <v>2148</v>
      </c>
      <c r="C1119">
        <v>6</v>
      </c>
      <c r="D1119">
        <v>1274</v>
      </c>
      <c r="E1119" t="s">
        <v>2149</v>
      </c>
    </row>
    <row r="1120" spans="1:5" x14ac:dyDescent="0.35">
      <c r="A1120" t="s">
        <v>582</v>
      </c>
      <c r="B1120" t="s">
        <v>2150</v>
      </c>
      <c r="C1120">
        <v>6</v>
      </c>
      <c r="D1120">
        <v>1275</v>
      </c>
      <c r="E1120" t="s">
        <v>2151</v>
      </c>
    </row>
    <row r="1121" spans="1:5" x14ac:dyDescent="0.35">
      <c r="A1121" t="s">
        <v>582</v>
      </c>
      <c r="B1121" t="s">
        <v>2152</v>
      </c>
      <c r="C1121">
        <v>6</v>
      </c>
      <c r="D1121">
        <v>1276</v>
      </c>
      <c r="E1121" t="s">
        <v>2153</v>
      </c>
    </row>
    <row r="1122" spans="1:5" x14ac:dyDescent="0.35">
      <c r="A1122" t="s">
        <v>582</v>
      </c>
      <c r="B1122" t="s">
        <v>2154</v>
      </c>
      <c r="C1122">
        <v>6</v>
      </c>
      <c r="D1122">
        <v>1277</v>
      </c>
      <c r="E1122" t="s">
        <v>2155</v>
      </c>
    </row>
    <row r="1123" spans="1:5" x14ac:dyDescent="0.35">
      <c r="A1123" t="s">
        <v>582</v>
      </c>
      <c r="B1123" t="s">
        <v>2156</v>
      </c>
      <c r="C1123">
        <v>6</v>
      </c>
      <c r="D1123">
        <v>1278</v>
      </c>
      <c r="E1123" t="s">
        <v>2157</v>
      </c>
    </row>
    <row r="1124" spans="1:5" x14ac:dyDescent="0.35">
      <c r="A1124" t="s">
        <v>582</v>
      </c>
      <c r="B1124" t="s">
        <v>2158</v>
      </c>
      <c r="C1124">
        <v>6</v>
      </c>
      <c r="D1124">
        <v>1279</v>
      </c>
      <c r="E1124" t="s">
        <v>2159</v>
      </c>
    </row>
    <row r="1125" spans="1:5" x14ac:dyDescent="0.35">
      <c r="A1125" t="s">
        <v>582</v>
      </c>
      <c r="B1125" t="s">
        <v>2160</v>
      </c>
      <c r="C1125">
        <v>6</v>
      </c>
      <c r="D1125">
        <v>1280</v>
      </c>
      <c r="E1125" t="s">
        <v>2161</v>
      </c>
    </row>
    <row r="1126" spans="1:5" x14ac:dyDescent="0.35">
      <c r="A1126" t="s">
        <v>582</v>
      </c>
      <c r="B1126" t="s">
        <v>2162</v>
      </c>
      <c r="C1126">
        <v>6</v>
      </c>
      <c r="D1126">
        <v>1281</v>
      </c>
      <c r="E1126" t="s">
        <v>2163</v>
      </c>
    </row>
    <row r="1127" spans="1:5" x14ac:dyDescent="0.35">
      <c r="A1127" t="s">
        <v>582</v>
      </c>
      <c r="B1127" t="s">
        <v>2164</v>
      </c>
      <c r="C1127">
        <v>6</v>
      </c>
      <c r="D1127">
        <v>1282</v>
      </c>
      <c r="E1127" t="s">
        <v>2165</v>
      </c>
    </row>
    <row r="1128" spans="1:5" x14ac:dyDescent="0.35">
      <c r="A1128" t="s">
        <v>582</v>
      </c>
      <c r="B1128" t="s">
        <v>2166</v>
      </c>
      <c r="C1128">
        <v>6</v>
      </c>
      <c r="D1128">
        <v>1283</v>
      </c>
      <c r="E1128" t="s">
        <v>2167</v>
      </c>
    </row>
    <row r="1129" spans="1:5" x14ac:dyDescent="0.35">
      <c r="A1129" t="s">
        <v>582</v>
      </c>
      <c r="B1129" t="s">
        <v>2168</v>
      </c>
      <c r="C1129">
        <v>6</v>
      </c>
      <c r="D1129">
        <v>1284</v>
      </c>
      <c r="E1129" t="s">
        <v>2169</v>
      </c>
    </row>
    <row r="1130" spans="1:5" x14ac:dyDescent="0.35">
      <c r="A1130" t="s">
        <v>582</v>
      </c>
      <c r="B1130" t="s">
        <v>2170</v>
      </c>
      <c r="C1130">
        <v>6</v>
      </c>
      <c r="D1130">
        <v>1285</v>
      </c>
      <c r="E1130" t="s">
        <v>2171</v>
      </c>
    </row>
    <row r="1131" spans="1:5" x14ac:dyDescent="0.35">
      <c r="A1131" t="s">
        <v>582</v>
      </c>
      <c r="B1131" t="s">
        <v>2172</v>
      </c>
      <c r="C1131">
        <v>6</v>
      </c>
      <c r="D1131">
        <v>1286</v>
      </c>
      <c r="E1131" t="s">
        <v>2173</v>
      </c>
    </row>
    <row r="1132" spans="1:5" x14ac:dyDescent="0.35">
      <c r="A1132" t="s">
        <v>582</v>
      </c>
      <c r="B1132" t="s">
        <v>2174</v>
      </c>
      <c r="C1132">
        <v>6</v>
      </c>
      <c r="D1132">
        <v>1287</v>
      </c>
      <c r="E1132" t="s">
        <v>2175</v>
      </c>
    </row>
    <row r="1133" spans="1:5" x14ac:dyDescent="0.35">
      <c r="A1133" t="s">
        <v>582</v>
      </c>
      <c r="B1133" t="s">
        <v>2176</v>
      </c>
      <c r="C1133">
        <v>6</v>
      </c>
      <c r="D1133">
        <v>1288</v>
      </c>
      <c r="E1133" t="s">
        <v>2177</v>
      </c>
    </row>
    <row r="1134" spans="1:5" x14ac:dyDescent="0.35">
      <c r="A1134" t="s">
        <v>582</v>
      </c>
      <c r="B1134" t="s">
        <v>2178</v>
      </c>
      <c r="C1134">
        <v>6</v>
      </c>
      <c r="D1134">
        <v>1289</v>
      </c>
      <c r="E1134" t="s">
        <v>2179</v>
      </c>
    </row>
    <row r="1135" spans="1:5" x14ac:dyDescent="0.35">
      <c r="A1135" t="s">
        <v>582</v>
      </c>
      <c r="B1135" t="s">
        <v>2180</v>
      </c>
      <c r="C1135">
        <v>6</v>
      </c>
      <c r="D1135">
        <v>1874</v>
      </c>
      <c r="E1135" t="s">
        <v>2181</v>
      </c>
    </row>
    <row r="1136" spans="1:5" x14ac:dyDescent="0.35">
      <c r="A1136" t="s">
        <v>582</v>
      </c>
      <c r="B1136" t="s">
        <v>2182</v>
      </c>
      <c r="C1136">
        <v>6</v>
      </c>
      <c r="D1136">
        <v>1875</v>
      </c>
      <c r="E1136" t="s">
        <v>2183</v>
      </c>
    </row>
    <row r="1137" spans="1:5" x14ac:dyDescent="0.35">
      <c r="A1137" t="s">
        <v>582</v>
      </c>
      <c r="B1137" t="s">
        <v>2184</v>
      </c>
      <c r="C1137">
        <v>6</v>
      </c>
      <c r="D1137">
        <v>2044</v>
      </c>
      <c r="E1137" t="s">
        <v>2185</v>
      </c>
    </row>
    <row r="1138" spans="1:5" x14ac:dyDescent="0.35">
      <c r="A1138" t="s">
        <v>582</v>
      </c>
      <c r="B1138" t="s">
        <v>2186</v>
      </c>
      <c r="C1138">
        <v>6</v>
      </c>
      <c r="D1138">
        <v>1886</v>
      </c>
      <c r="E1138" t="s">
        <v>2187</v>
      </c>
    </row>
    <row r="1139" spans="1:5" x14ac:dyDescent="0.35">
      <c r="A1139" t="s">
        <v>579</v>
      </c>
      <c r="B1139" t="s">
        <v>2188</v>
      </c>
      <c r="C1139">
        <v>3</v>
      </c>
      <c r="D1139">
        <v>1290</v>
      </c>
      <c r="E1139" t="s">
        <v>2189</v>
      </c>
    </row>
    <row r="1140" spans="1:5" x14ac:dyDescent="0.35">
      <c r="A1140" t="s">
        <v>579</v>
      </c>
      <c r="B1140" t="s">
        <v>2190</v>
      </c>
      <c r="C1140">
        <v>4</v>
      </c>
      <c r="D1140">
        <v>1291</v>
      </c>
      <c r="E1140" t="s">
        <v>2191</v>
      </c>
    </row>
    <row r="1141" spans="1:5" x14ac:dyDescent="0.35">
      <c r="A1141" t="s">
        <v>579</v>
      </c>
      <c r="B1141" t="s">
        <v>2192</v>
      </c>
      <c r="C1141">
        <v>5</v>
      </c>
      <c r="D1141">
        <v>1292</v>
      </c>
      <c r="E1141" t="s">
        <v>445</v>
      </c>
    </row>
    <row r="1142" spans="1:5" x14ac:dyDescent="0.35">
      <c r="A1142" t="s">
        <v>582</v>
      </c>
      <c r="B1142" t="s">
        <v>2193</v>
      </c>
      <c r="C1142">
        <v>6</v>
      </c>
      <c r="D1142">
        <v>1293</v>
      </c>
      <c r="E1142" t="s">
        <v>447</v>
      </c>
    </row>
    <row r="1143" spans="1:5" x14ac:dyDescent="0.35">
      <c r="A1143" t="s">
        <v>582</v>
      </c>
      <c r="B1143" t="s">
        <v>2194</v>
      </c>
      <c r="C1143">
        <v>6</v>
      </c>
      <c r="D1143">
        <v>1294</v>
      </c>
      <c r="E1143" t="s">
        <v>1754</v>
      </c>
    </row>
    <row r="1144" spans="1:5" x14ac:dyDescent="0.35">
      <c r="A1144" t="s">
        <v>582</v>
      </c>
      <c r="B1144" t="s">
        <v>2195</v>
      </c>
      <c r="C1144">
        <v>6</v>
      </c>
      <c r="D1144">
        <v>1295</v>
      </c>
      <c r="E1144" t="s">
        <v>572</v>
      </c>
    </row>
    <row r="1145" spans="1:5" x14ac:dyDescent="0.35">
      <c r="A1145" t="s">
        <v>582</v>
      </c>
      <c r="B1145" t="s">
        <v>2196</v>
      </c>
      <c r="C1145">
        <v>6</v>
      </c>
      <c r="D1145">
        <v>1296</v>
      </c>
      <c r="E1145" t="s">
        <v>1756</v>
      </c>
    </row>
    <row r="1146" spans="1:5" x14ac:dyDescent="0.35">
      <c r="A1146" t="s">
        <v>582</v>
      </c>
      <c r="B1146" t="s">
        <v>2197</v>
      </c>
      <c r="C1146">
        <v>6</v>
      </c>
      <c r="D1146">
        <v>2045</v>
      </c>
      <c r="E1146" t="s">
        <v>2198</v>
      </c>
    </row>
    <row r="1147" spans="1:5" x14ac:dyDescent="0.35">
      <c r="A1147" t="s">
        <v>582</v>
      </c>
      <c r="B1147" t="s">
        <v>2199</v>
      </c>
      <c r="C1147">
        <v>6</v>
      </c>
      <c r="D1147">
        <v>2046</v>
      </c>
      <c r="E1147" t="s">
        <v>2200</v>
      </c>
    </row>
    <row r="1148" spans="1:5" x14ac:dyDescent="0.35">
      <c r="A1148" t="s">
        <v>579</v>
      </c>
      <c r="B1148" t="s">
        <v>2201</v>
      </c>
      <c r="C1148">
        <v>4</v>
      </c>
      <c r="D1148">
        <v>1297</v>
      </c>
      <c r="E1148" t="s">
        <v>2202</v>
      </c>
    </row>
    <row r="1149" spans="1:5" x14ac:dyDescent="0.35">
      <c r="A1149" t="s">
        <v>579</v>
      </c>
      <c r="B1149" t="s">
        <v>2203</v>
      </c>
      <c r="C1149">
        <v>5</v>
      </c>
      <c r="D1149">
        <v>1298</v>
      </c>
      <c r="E1149" t="s">
        <v>1767</v>
      </c>
    </row>
    <row r="1150" spans="1:5" x14ac:dyDescent="0.35">
      <c r="A1150" t="s">
        <v>582</v>
      </c>
      <c r="B1150" t="s">
        <v>2204</v>
      </c>
      <c r="C1150">
        <v>6</v>
      </c>
      <c r="D1150">
        <v>1299</v>
      </c>
      <c r="E1150" t="s">
        <v>2073</v>
      </c>
    </row>
    <row r="1151" spans="1:5" x14ac:dyDescent="0.35">
      <c r="A1151" t="s">
        <v>582</v>
      </c>
      <c r="B1151" t="s">
        <v>2205</v>
      </c>
      <c r="C1151">
        <v>6</v>
      </c>
      <c r="D1151">
        <v>1300</v>
      </c>
      <c r="E1151" t="s">
        <v>2079</v>
      </c>
    </row>
    <row r="1152" spans="1:5" x14ac:dyDescent="0.35">
      <c r="A1152" t="s">
        <v>582</v>
      </c>
      <c r="B1152" t="s">
        <v>2206</v>
      </c>
      <c r="C1152">
        <v>6</v>
      </c>
      <c r="D1152">
        <v>1301</v>
      </c>
      <c r="E1152" t="s">
        <v>2207</v>
      </c>
    </row>
    <row r="1153" spans="1:5" x14ac:dyDescent="0.35">
      <c r="A1153" t="s">
        <v>582</v>
      </c>
      <c r="B1153" t="s">
        <v>2208</v>
      </c>
      <c r="C1153">
        <v>6</v>
      </c>
      <c r="D1153">
        <v>1302</v>
      </c>
      <c r="E1153" t="s">
        <v>2209</v>
      </c>
    </row>
    <row r="1154" spans="1:5" x14ac:dyDescent="0.35">
      <c r="A1154" t="s">
        <v>582</v>
      </c>
      <c r="B1154" t="s">
        <v>2210</v>
      </c>
      <c r="C1154">
        <v>6</v>
      </c>
      <c r="D1154">
        <v>1303</v>
      </c>
      <c r="E1154" t="s">
        <v>2085</v>
      </c>
    </row>
    <row r="1155" spans="1:5" x14ac:dyDescent="0.35">
      <c r="A1155" t="s">
        <v>582</v>
      </c>
      <c r="B1155" t="s">
        <v>2211</v>
      </c>
      <c r="C1155">
        <v>6</v>
      </c>
      <c r="D1155">
        <v>1304</v>
      </c>
      <c r="E1155" t="s">
        <v>2087</v>
      </c>
    </row>
    <row r="1156" spans="1:5" x14ac:dyDescent="0.35">
      <c r="A1156" t="s">
        <v>582</v>
      </c>
      <c r="B1156" t="s">
        <v>2212</v>
      </c>
      <c r="C1156">
        <v>6</v>
      </c>
      <c r="D1156">
        <v>1305</v>
      </c>
      <c r="E1156" t="s">
        <v>2089</v>
      </c>
    </row>
    <row r="1157" spans="1:5" x14ac:dyDescent="0.35">
      <c r="A1157" t="s">
        <v>582</v>
      </c>
      <c r="B1157" t="s">
        <v>2213</v>
      </c>
      <c r="C1157">
        <v>6</v>
      </c>
      <c r="D1157">
        <v>1306</v>
      </c>
      <c r="E1157" t="s">
        <v>2093</v>
      </c>
    </row>
    <row r="1158" spans="1:5" x14ac:dyDescent="0.35">
      <c r="A1158" t="s">
        <v>582</v>
      </c>
      <c r="B1158" t="s">
        <v>2214</v>
      </c>
      <c r="C1158">
        <v>6</v>
      </c>
      <c r="D1158">
        <v>1307</v>
      </c>
      <c r="E1158" t="s">
        <v>2099</v>
      </c>
    </row>
    <row r="1159" spans="1:5" x14ac:dyDescent="0.35">
      <c r="A1159" t="s">
        <v>582</v>
      </c>
      <c r="B1159" t="s">
        <v>2215</v>
      </c>
      <c r="C1159">
        <v>6</v>
      </c>
      <c r="D1159">
        <v>1308</v>
      </c>
      <c r="E1159" t="s">
        <v>2216</v>
      </c>
    </row>
    <row r="1160" spans="1:5" x14ac:dyDescent="0.35">
      <c r="A1160" t="s">
        <v>582</v>
      </c>
      <c r="B1160" t="s">
        <v>2217</v>
      </c>
      <c r="C1160">
        <v>6</v>
      </c>
      <c r="D1160">
        <v>1309</v>
      </c>
      <c r="E1160" t="s">
        <v>2218</v>
      </c>
    </row>
    <row r="1161" spans="1:5" x14ac:dyDescent="0.35">
      <c r="A1161" t="s">
        <v>582</v>
      </c>
      <c r="B1161" t="s">
        <v>2219</v>
      </c>
      <c r="C1161">
        <v>6</v>
      </c>
      <c r="D1161">
        <v>1310</v>
      </c>
      <c r="E1161" t="s">
        <v>2105</v>
      </c>
    </row>
    <row r="1162" spans="1:5" x14ac:dyDescent="0.35">
      <c r="A1162" t="s">
        <v>582</v>
      </c>
      <c r="B1162" t="s">
        <v>2220</v>
      </c>
      <c r="C1162">
        <v>6</v>
      </c>
      <c r="D1162">
        <v>1311</v>
      </c>
      <c r="E1162" t="s">
        <v>2107</v>
      </c>
    </row>
    <row r="1163" spans="1:5" x14ac:dyDescent="0.35">
      <c r="A1163" t="s">
        <v>582</v>
      </c>
      <c r="B1163" t="s">
        <v>2221</v>
      </c>
      <c r="C1163">
        <v>6</v>
      </c>
      <c r="D1163">
        <v>1312</v>
      </c>
      <c r="E1163" t="s">
        <v>2109</v>
      </c>
    </row>
    <row r="1164" spans="1:5" x14ac:dyDescent="0.35">
      <c r="A1164" t="s">
        <v>582</v>
      </c>
      <c r="B1164" t="s">
        <v>2222</v>
      </c>
      <c r="C1164">
        <v>6</v>
      </c>
      <c r="D1164">
        <v>1313</v>
      </c>
      <c r="E1164" t="s">
        <v>2113</v>
      </c>
    </row>
    <row r="1165" spans="1:5" x14ac:dyDescent="0.35">
      <c r="A1165" t="s">
        <v>582</v>
      </c>
      <c r="B1165" t="s">
        <v>2223</v>
      </c>
      <c r="C1165">
        <v>6</v>
      </c>
      <c r="D1165">
        <v>1314</v>
      </c>
      <c r="E1165" t="s">
        <v>2119</v>
      </c>
    </row>
    <row r="1166" spans="1:5" x14ac:dyDescent="0.35">
      <c r="A1166" t="s">
        <v>582</v>
      </c>
      <c r="B1166" t="s">
        <v>2224</v>
      </c>
      <c r="C1166">
        <v>6</v>
      </c>
      <c r="D1166">
        <v>1315</v>
      </c>
      <c r="E1166" t="s">
        <v>2225</v>
      </c>
    </row>
    <row r="1167" spans="1:5" x14ac:dyDescent="0.35">
      <c r="A1167" t="s">
        <v>582</v>
      </c>
      <c r="B1167" t="s">
        <v>2226</v>
      </c>
      <c r="C1167">
        <v>6</v>
      </c>
      <c r="D1167">
        <v>1316</v>
      </c>
      <c r="E1167" t="s">
        <v>2227</v>
      </c>
    </row>
    <row r="1168" spans="1:5" x14ac:dyDescent="0.35">
      <c r="A1168" t="s">
        <v>582</v>
      </c>
      <c r="B1168" t="s">
        <v>2228</v>
      </c>
      <c r="C1168">
        <v>6</v>
      </c>
      <c r="D1168">
        <v>1317</v>
      </c>
      <c r="E1168" t="s">
        <v>2125</v>
      </c>
    </row>
    <row r="1169" spans="1:5" x14ac:dyDescent="0.35">
      <c r="A1169" t="s">
        <v>582</v>
      </c>
      <c r="B1169" t="s">
        <v>2229</v>
      </c>
      <c r="C1169">
        <v>6</v>
      </c>
      <c r="D1169">
        <v>1318</v>
      </c>
      <c r="E1169" t="s">
        <v>2127</v>
      </c>
    </row>
    <row r="1170" spans="1:5" x14ac:dyDescent="0.35">
      <c r="A1170" t="s">
        <v>582</v>
      </c>
      <c r="B1170" t="s">
        <v>2230</v>
      </c>
      <c r="C1170">
        <v>6</v>
      </c>
      <c r="D1170">
        <v>1319</v>
      </c>
      <c r="E1170" t="s">
        <v>2129</v>
      </c>
    </row>
    <row r="1171" spans="1:5" x14ac:dyDescent="0.35">
      <c r="A1171" t="s">
        <v>582</v>
      </c>
      <c r="B1171" t="s">
        <v>2231</v>
      </c>
      <c r="C1171">
        <v>6</v>
      </c>
      <c r="D1171">
        <v>1876</v>
      </c>
      <c r="E1171" t="s">
        <v>2232</v>
      </c>
    </row>
    <row r="1172" spans="1:5" x14ac:dyDescent="0.35">
      <c r="A1172" t="s">
        <v>582</v>
      </c>
      <c r="B1172" t="s">
        <v>2233</v>
      </c>
      <c r="C1172">
        <v>6</v>
      </c>
      <c r="D1172">
        <v>1877</v>
      </c>
      <c r="E1172" t="s">
        <v>2234</v>
      </c>
    </row>
    <row r="1173" spans="1:5" x14ac:dyDescent="0.35">
      <c r="A1173" t="s">
        <v>582</v>
      </c>
      <c r="B1173" t="s">
        <v>2235</v>
      </c>
      <c r="C1173">
        <v>6</v>
      </c>
      <c r="D1173">
        <v>1878</v>
      </c>
      <c r="E1173" t="s">
        <v>2236</v>
      </c>
    </row>
    <row r="1174" spans="1:5" x14ac:dyDescent="0.35">
      <c r="A1174" t="s">
        <v>582</v>
      </c>
      <c r="B1174" t="s">
        <v>2237</v>
      </c>
      <c r="C1174">
        <v>6</v>
      </c>
      <c r="D1174">
        <v>2047</v>
      </c>
      <c r="E1174" t="s">
        <v>2238</v>
      </c>
    </row>
    <row r="1175" spans="1:5" x14ac:dyDescent="0.35">
      <c r="A1175" t="s">
        <v>582</v>
      </c>
      <c r="B1175" t="s">
        <v>2239</v>
      </c>
      <c r="C1175">
        <v>6</v>
      </c>
      <c r="D1175">
        <v>2048</v>
      </c>
      <c r="E1175" t="s">
        <v>2240</v>
      </c>
    </row>
    <row r="1176" spans="1:5" x14ac:dyDescent="0.35">
      <c r="A1176" t="s">
        <v>582</v>
      </c>
      <c r="B1176" t="s">
        <v>2241</v>
      </c>
      <c r="C1176">
        <v>6</v>
      </c>
      <c r="D1176">
        <v>2049</v>
      </c>
      <c r="E1176" t="s">
        <v>2242</v>
      </c>
    </row>
    <row r="1177" spans="1:5" x14ac:dyDescent="0.35">
      <c r="A1177" t="s">
        <v>582</v>
      </c>
      <c r="B1177" t="s">
        <v>2243</v>
      </c>
      <c r="C1177">
        <v>6</v>
      </c>
      <c r="D1177">
        <v>2311</v>
      </c>
      <c r="E1177" t="s">
        <v>1939</v>
      </c>
    </row>
    <row r="1178" spans="1:5" x14ac:dyDescent="0.35">
      <c r="A1178" t="s">
        <v>579</v>
      </c>
      <c r="B1178" t="s">
        <v>2244</v>
      </c>
      <c r="C1178">
        <v>5</v>
      </c>
      <c r="D1178">
        <v>1320</v>
      </c>
      <c r="E1178" t="s">
        <v>1941</v>
      </c>
    </row>
    <row r="1179" spans="1:5" x14ac:dyDescent="0.35">
      <c r="A1179" t="s">
        <v>582</v>
      </c>
      <c r="B1179" t="s">
        <v>2245</v>
      </c>
      <c r="C1179">
        <v>6</v>
      </c>
      <c r="D1179">
        <v>1321</v>
      </c>
      <c r="E1179" t="s">
        <v>2246</v>
      </c>
    </row>
    <row r="1180" spans="1:5" x14ac:dyDescent="0.35">
      <c r="A1180" t="s">
        <v>582</v>
      </c>
      <c r="B1180" t="s">
        <v>2247</v>
      </c>
      <c r="C1180">
        <v>6</v>
      </c>
      <c r="D1180">
        <v>1322</v>
      </c>
      <c r="E1180" t="s">
        <v>2248</v>
      </c>
    </row>
    <row r="1181" spans="1:5" x14ac:dyDescent="0.35">
      <c r="A1181" t="s">
        <v>582</v>
      </c>
      <c r="B1181" t="s">
        <v>2249</v>
      </c>
      <c r="C1181">
        <v>6</v>
      </c>
      <c r="D1181">
        <v>1323</v>
      </c>
      <c r="E1181" t="s">
        <v>2250</v>
      </c>
    </row>
    <row r="1182" spans="1:5" x14ac:dyDescent="0.35">
      <c r="A1182" t="s">
        <v>582</v>
      </c>
      <c r="B1182" t="s">
        <v>2251</v>
      </c>
      <c r="C1182">
        <v>6</v>
      </c>
      <c r="D1182">
        <v>1324</v>
      </c>
      <c r="E1182" t="s">
        <v>2252</v>
      </c>
    </row>
    <row r="1183" spans="1:5" x14ac:dyDescent="0.35">
      <c r="A1183" t="s">
        <v>582</v>
      </c>
      <c r="B1183" t="s">
        <v>2253</v>
      </c>
      <c r="C1183">
        <v>6</v>
      </c>
      <c r="D1183">
        <v>1325</v>
      </c>
      <c r="E1183" t="s">
        <v>2254</v>
      </c>
    </row>
    <row r="1184" spans="1:5" x14ac:dyDescent="0.35">
      <c r="A1184" t="s">
        <v>582</v>
      </c>
      <c r="B1184" t="s">
        <v>2255</v>
      </c>
      <c r="C1184">
        <v>6</v>
      </c>
      <c r="D1184">
        <v>1326</v>
      </c>
      <c r="E1184" t="s">
        <v>2256</v>
      </c>
    </row>
    <row r="1185" spans="1:5" x14ac:dyDescent="0.35">
      <c r="A1185" t="s">
        <v>582</v>
      </c>
      <c r="B1185" t="s">
        <v>2257</v>
      </c>
      <c r="C1185">
        <v>6</v>
      </c>
      <c r="D1185">
        <v>1327</v>
      </c>
      <c r="E1185" t="s">
        <v>2258</v>
      </c>
    </row>
    <row r="1186" spans="1:5" x14ac:dyDescent="0.35">
      <c r="A1186" t="s">
        <v>582</v>
      </c>
      <c r="B1186" t="s">
        <v>2259</v>
      </c>
      <c r="C1186">
        <v>6</v>
      </c>
      <c r="D1186">
        <v>1328</v>
      </c>
      <c r="E1186" t="s">
        <v>2260</v>
      </c>
    </row>
    <row r="1187" spans="1:5" x14ac:dyDescent="0.35">
      <c r="A1187" t="s">
        <v>582</v>
      </c>
      <c r="B1187" t="s">
        <v>2261</v>
      </c>
      <c r="C1187">
        <v>6</v>
      </c>
      <c r="D1187">
        <v>1329</v>
      </c>
      <c r="E1187" t="s">
        <v>2169</v>
      </c>
    </row>
    <row r="1188" spans="1:5" x14ac:dyDescent="0.35">
      <c r="A1188" t="s">
        <v>582</v>
      </c>
      <c r="B1188" t="s">
        <v>2262</v>
      </c>
      <c r="C1188">
        <v>6</v>
      </c>
      <c r="D1188">
        <v>1330</v>
      </c>
      <c r="E1188" t="s">
        <v>2171</v>
      </c>
    </row>
    <row r="1189" spans="1:5" x14ac:dyDescent="0.35">
      <c r="A1189" t="s">
        <v>582</v>
      </c>
      <c r="B1189" t="s">
        <v>2263</v>
      </c>
      <c r="C1189">
        <v>6</v>
      </c>
      <c r="D1189">
        <v>1331</v>
      </c>
      <c r="E1189" t="s">
        <v>2173</v>
      </c>
    </row>
    <row r="1190" spans="1:5" x14ac:dyDescent="0.35">
      <c r="A1190" t="s">
        <v>582</v>
      </c>
      <c r="B1190" t="s">
        <v>2264</v>
      </c>
      <c r="C1190">
        <v>6</v>
      </c>
      <c r="D1190">
        <v>1332</v>
      </c>
      <c r="E1190" t="s">
        <v>2175</v>
      </c>
    </row>
    <row r="1191" spans="1:5" x14ac:dyDescent="0.35">
      <c r="A1191" t="s">
        <v>582</v>
      </c>
      <c r="B1191" t="s">
        <v>2265</v>
      </c>
      <c r="C1191">
        <v>6</v>
      </c>
      <c r="D1191">
        <v>1333</v>
      </c>
      <c r="E1191" t="s">
        <v>2177</v>
      </c>
    </row>
    <row r="1192" spans="1:5" x14ac:dyDescent="0.35">
      <c r="A1192" t="s">
        <v>582</v>
      </c>
      <c r="B1192" t="s">
        <v>2266</v>
      </c>
      <c r="C1192">
        <v>6</v>
      </c>
      <c r="D1192">
        <v>1334</v>
      </c>
      <c r="E1192" t="s">
        <v>2179</v>
      </c>
    </row>
    <row r="1193" spans="1:5" x14ac:dyDescent="0.35">
      <c r="A1193" t="s">
        <v>582</v>
      </c>
      <c r="B1193" t="s">
        <v>2267</v>
      </c>
      <c r="C1193">
        <v>6</v>
      </c>
      <c r="D1193">
        <v>1879</v>
      </c>
      <c r="E1193" t="s">
        <v>2268</v>
      </c>
    </row>
    <row r="1194" spans="1:5" x14ac:dyDescent="0.35">
      <c r="A1194" t="s">
        <v>582</v>
      </c>
      <c r="B1194" t="s">
        <v>2269</v>
      </c>
      <c r="C1194">
        <v>6</v>
      </c>
      <c r="D1194">
        <v>1880</v>
      </c>
      <c r="E1194" t="s">
        <v>2270</v>
      </c>
    </row>
    <row r="1195" spans="1:5" x14ac:dyDescent="0.35">
      <c r="A1195" t="s">
        <v>582</v>
      </c>
      <c r="B1195" t="s">
        <v>2271</v>
      </c>
      <c r="C1195">
        <v>6</v>
      </c>
      <c r="D1195">
        <v>1887</v>
      </c>
      <c r="E1195" t="s">
        <v>2272</v>
      </c>
    </row>
    <row r="1196" spans="1:5" x14ac:dyDescent="0.35">
      <c r="A1196" t="s">
        <v>582</v>
      </c>
      <c r="B1196" t="s">
        <v>2273</v>
      </c>
      <c r="C1196">
        <v>6</v>
      </c>
      <c r="D1196">
        <v>2050</v>
      </c>
      <c r="E1196" t="s">
        <v>2274</v>
      </c>
    </row>
    <row r="1197" spans="1:5" x14ac:dyDescent="0.35">
      <c r="A1197" t="s">
        <v>579</v>
      </c>
      <c r="B1197" t="s">
        <v>2275</v>
      </c>
      <c r="C1197">
        <v>2</v>
      </c>
      <c r="D1197">
        <v>1335</v>
      </c>
      <c r="E1197" t="s">
        <v>1415</v>
      </c>
    </row>
    <row r="1198" spans="1:5" x14ac:dyDescent="0.35">
      <c r="A1198" t="s">
        <v>579</v>
      </c>
      <c r="B1198" t="s">
        <v>2276</v>
      </c>
      <c r="C1198">
        <v>3</v>
      </c>
      <c r="D1198">
        <v>1336</v>
      </c>
      <c r="E1198" t="s">
        <v>1415</v>
      </c>
    </row>
    <row r="1199" spans="1:5" x14ac:dyDescent="0.35">
      <c r="A1199" t="s">
        <v>579</v>
      </c>
      <c r="B1199" t="s">
        <v>2277</v>
      </c>
      <c r="C1199">
        <v>4</v>
      </c>
      <c r="D1199">
        <v>1337</v>
      </c>
      <c r="E1199" t="s">
        <v>1418</v>
      </c>
    </row>
    <row r="1200" spans="1:5" x14ac:dyDescent="0.35">
      <c r="A1200" t="s">
        <v>579</v>
      </c>
      <c r="B1200" t="s">
        <v>2278</v>
      </c>
      <c r="C1200">
        <v>5</v>
      </c>
      <c r="D1200">
        <v>1338</v>
      </c>
      <c r="E1200" t="s">
        <v>1418</v>
      </c>
    </row>
    <row r="1201" spans="1:5" x14ac:dyDescent="0.35">
      <c r="A1201" t="s">
        <v>582</v>
      </c>
      <c r="B1201" t="s">
        <v>2279</v>
      </c>
      <c r="C1201">
        <v>6</v>
      </c>
      <c r="D1201">
        <v>1339</v>
      </c>
      <c r="E1201" t="s">
        <v>1421</v>
      </c>
    </row>
    <row r="1202" spans="1:5" x14ac:dyDescent="0.35">
      <c r="A1202" t="s">
        <v>582</v>
      </c>
      <c r="B1202" t="s">
        <v>2280</v>
      </c>
      <c r="C1202">
        <v>6</v>
      </c>
      <c r="D1202">
        <v>1340</v>
      </c>
      <c r="E1202" t="s">
        <v>1423</v>
      </c>
    </row>
    <row r="1203" spans="1:5" x14ac:dyDescent="0.35">
      <c r="A1203" t="s">
        <v>582</v>
      </c>
      <c r="B1203" t="s">
        <v>2281</v>
      </c>
      <c r="C1203">
        <v>6</v>
      </c>
      <c r="D1203">
        <v>1341</v>
      </c>
      <c r="E1203" t="s">
        <v>1425</v>
      </c>
    </row>
    <row r="1204" spans="1:5" x14ac:dyDescent="0.35">
      <c r="A1204" t="s">
        <v>582</v>
      </c>
      <c r="B1204" t="s">
        <v>2282</v>
      </c>
      <c r="C1204">
        <v>6</v>
      </c>
      <c r="D1204">
        <v>1342</v>
      </c>
      <c r="E1204" t="s">
        <v>1427</v>
      </c>
    </row>
    <row r="1205" spans="1:5" x14ac:dyDescent="0.35">
      <c r="A1205" t="s">
        <v>582</v>
      </c>
      <c r="B1205" t="s">
        <v>2283</v>
      </c>
      <c r="C1205">
        <v>6</v>
      </c>
      <c r="D1205">
        <v>1343</v>
      </c>
      <c r="E1205" t="s">
        <v>1429</v>
      </c>
    </row>
    <row r="1206" spans="1:5" x14ac:dyDescent="0.35">
      <c r="A1206" t="s">
        <v>582</v>
      </c>
      <c r="B1206" t="s">
        <v>2284</v>
      </c>
      <c r="C1206">
        <v>6</v>
      </c>
      <c r="D1206">
        <v>2051</v>
      </c>
      <c r="E1206" t="s">
        <v>2285</v>
      </c>
    </row>
    <row r="1207" spans="1:5" x14ac:dyDescent="0.35">
      <c r="A1207" t="s">
        <v>579</v>
      </c>
      <c r="B1207">
        <v>3</v>
      </c>
      <c r="C1207">
        <v>1</v>
      </c>
      <c r="D1207">
        <v>207</v>
      </c>
      <c r="E1207" t="s">
        <v>196</v>
      </c>
    </row>
    <row r="1208" spans="1:5" x14ac:dyDescent="0.35">
      <c r="A1208" t="s">
        <v>579</v>
      </c>
      <c r="B1208" t="s">
        <v>450</v>
      </c>
      <c r="C1208">
        <v>2</v>
      </c>
      <c r="D1208">
        <v>208</v>
      </c>
      <c r="E1208" t="s">
        <v>451</v>
      </c>
    </row>
    <row r="1209" spans="1:5" x14ac:dyDescent="0.35">
      <c r="A1209" t="s">
        <v>579</v>
      </c>
      <c r="B1209" t="s">
        <v>452</v>
      </c>
      <c r="C1209">
        <v>3</v>
      </c>
      <c r="D1209">
        <v>209</v>
      </c>
      <c r="E1209" t="s">
        <v>453</v>
      </c>
    </row>
    <row r="1210" spans="1:5" x14ac:dyDescent="0.35">
      <c r="A1210" t="s">
        <v>579</v>
      </c>
      <c r="B1210" t="s">
        <v>2286</v>
      </c>
      <c r="C1210">
        <v>4</v>
      </c>
      <c r="D1210">
        <v>210</v>
      </c>
      <c r="E1210" t="s">
        <v>2287</v>
      </c>
    </row>
    <row r="1211" spans="1:5" x14ac:dyDescent="0.35">
      <c r="A1211" t="s">
        <v>579</v>
      </c>
      <c r="B1211" t="s">
        <v>2288</v>
      </c>
      <c r="C1211">
        <v>5</v>
      </c>
      <c r="D1211">
        <v>1344</v>
      </c>
      <c r="E1211" t="s">
        <v>675</v>
      </c>
    </row>
    <row r="1212" spans="1:5" x14ac:dyDescent="0.35">
      <c r="A1212" t="s">
        <v>582</v>
      </c>
      <c r="B1212" t="s">
        <v>2289</v>
      </c>
      <c r="C1212">
        <v>6</v>
      </c>
      <c r="D1212">
        <v>1345</v>
      </c>
      <c r="E1212" t="s">
        <v>2290</v>
      </c>
    </row>
    <row r="1213" spans="1:5" x14ac:dyDescent="0.35">
      <c r="A1213" t="s">
        <v>582</v>
      </c>
      <c r="B1213" t="s">
        <v>2291</v>
      </c>
      <c r="C1213">
        <v>6</v>
      </c>
      <c r="D1213">
        <v>1346</v>
      </c>
      <c r="E1213" t="s">
        <v>2292</v>
      </c>
    </row>
    <row r="1214" spans="1:5" x14ac:dyDescent="0.35">
      <c r="A1214" t="s">
        <v>582</v>
      </c>
      <c r="B1214" t="s">
        <v>2293</v>
      </c>
      <c r="C1214">
        <v>6</v>
      </c>
      <c r="D1214">
        <v>1347</v>
      </c>
      <c r="E1214" t="s">
        <v>164</v>
      </c>
    </row>
    <row r="1215" spans="1:5" x14ac:dyDescent="0.35">
      <c r="A1215" t="s">
        <v>582</v>
      </c>
      <c r="B1215" t="s">
        <v>2294</v>
      </c>
      <c r="C1215">
        <v>6</v>
      </c>
      <c r="D1215">
        <v>1348</v>
      </c>
      <c r="E1215" t="s">
        <v>504</v>
      </c>
    </row>
    <row r="1216" spans="1:5" x14ac:dyDescent="0.35">
      <c r="A1216" t="s">
        <v>582</v>
      </c>
      <c r="B1216" t="s">
        <v>2295</v>
      </c>
      <c r="C1216">
        <v>6</v>
      </c>
      <c r="D1216">
        <v>1349</v>
      </c>
      <c r="E1216" t="s">
        <v>2296</v>
      </c>
    </row>
    <row r="1217" spans="1:5" x14ac:dyDescent="0.35">
      <c r="A1217" t="s">
        <v>582</v>
      </c>
      <c r="B1217" t="s">
        <v>2297</v>
      </c>
      <c r="C1217">
        <v>6</v>
      </c>
      <c r="D1217">
        <v>1350</v>
      </c>
      <c r="E1217" t="s">
        <v>2298</v>
      </c>
    </row>
    <row r="1218" spans="1:5" x14ac:dyDescent="0.35">
      <c r="A1218" t="s">
        <v>582</v>
      </c>
      <c r="B1218" t="s">
        <v>2299</v>
      </c>
      <c r="C1218">
        <v>6</v>
      </c>
      <c r="D1218">
        <v>1351</v>
      </c>
      <c r="E1218" t="s">
        <v>2300</v>
      </c>
    </row>
    <row r="1219" spans="1:5" x14ac:dyDescent="0.35">
      <c r="A1219" t="s">
        <v>582</v>
      </c>
      <c r="B1219" t="s">
        <v>2301</v>
      </c>
      <c r="C1219">
        <v>6</v>
      </c>
      <c r="D1219">
        <v>1352</v>
      </c>
      <c r="E1219" t="s">
        <v>2302</v>
      </c>
    </row>
    <row r="1220" spans="1:5" x14ac:dyDescent="0.35">
      <c r="A1220" t="s">
        <v>582</v>
      </c>
      <c r="B1220" t="s">
        <v>2303</v>
      </c>
      <c r="C1220">
        <v>6</v>
      </c>
      <c r="D1220">
        <v>1888</v>
      </c>
      <c r="E1220" t="s">
        <v>2304</v>
      </c>
    </row>
    <row r="1221" spans="1:5" x14ac:dyDescent="0.35">
      <c r="A1221" t="s">
        <v>582</v>
      </c>
      <c r="B1221" t="s">
        <v>2305</v>
      </c>
      <c r="C1221">
        <v>6</v>
      </c>
      <c r="D1221">
        <v>1982</v>
      </c>
      <c r="E1221" t="s">
        <v>2306</v>
      </c>
    </row>
    <row r="1222" spans="1:5" x14ac:dyDescent="0.35">
      <c r="A1222" t="s">
        <v>582</v>
      </c>
      <c r="B1222" t="s">
        <v>2307</v>
      </c>
      <c r="C1222">
        <v>6</v>
      </c>
      <c r="D1222">
        <v>2090</v>
      </c>
      <c r="E1222" t="s">
        <v>2308</v>
      </c>
    </row>
    <row r="1223" spans="1:5" x14ac:dyDescent="0.35">
      <c r="A1223" t="s">
        <v>582</v>
      </c>
      <c r="B1223" t="s">
        <v>2309</v>
      </c>
      <c r="C1223">
        <v>6</v>
      </c>
      <c r="D1223">
        <v>2281</v>
      </c>
      <c r="E1223" t="s">
        <v>2310</v>
      </c>
    </row>
    <row r="1224" spans="1:5" x14ac:dyDescent="0.35">
      <c r="A1224" t="s">
        <v>582</v>
      </c>
      <c r="B1224" t="s">
        <v>2311</v>
      </c>
      <c r="C1224">
        <v>6</v>
      </c>
      <c r="D1224">
        <v>2282</v>
      </c>
      <c r="E1224" t="s">
        <v>2312</v>
      </c>
    </row>
    <row r="1225" spans="1:5" x14ac:dyDescent="0.35">
      <c r="A1225" t="s">
        <v>582</v>
      </c>
      <c r="B1225" t="s">
        <v>2313</v>
      </c>
      <c r="C1225">
        <v>6</v>
      </c>
      <c r="D1225">
        <v>2216</v>
      </c>
      <c r="E1225" t="s">
        <v>753</v>
      </c>
    </row>
    <row r="1226" spans="1:5" x14ac:dyDescent="0.35">
      <c r="A1226" t="s">
        <v>579</v>
      </c>
      <c r="B1226" t="s">
        <v>2314</v>
      </c>
      <c r="C1226">
        <v>5</v>
      </c>
      <c r="D1226">
        <v>1353</v>
      </c>
      <c r="E1226" t="s">
        <v>2315</v>
      </c>
    </row>
    <row r="1227" spans="1:5" x14ac:dyDescent="0.35">
      <c r="A1227" t="s">
        <v>582</v>
      </c>
      <c r="B1227" t="s">
        <v>2316</v>
      </c>
      <c r="C1227">
        <v>6</v>
      </c>
      <c r="D1227">
        <v>1354</v>
      </c>
      <c r="E1227" t="s">
        <v>2317</v>
      </c>
    </row>
    <row r="1228" spans="1:5" x14ac:dyDescent="0.35">
      <c r="A1228" t="s">
        <v>582</v>
      </c>
      <c r="B1228" t="s">
        <v>2318</v>
      </c>
      <c r="C1228">
        <v>6</v>
      </c>
      <c r="D1228">
        <v>1355</v>
      </c>
      <c r="E1228" t="s">
        <v>2319</v>
      </c>
    </row>
    <row r="1229" spans="1:5" x14ac:dyDescent="0.35">
      <c r="A1229" t="s">
        <v>582</v>
      </c>
      <c r="B1229" t="s">
        <v>2320</v>
      </c>
      <c r="C1229">
        <v>6</v>
      </c>
      <c r="D1229">
        <v>1356</v>
      </c>
      <c r="E1229" t="s">
        <v>2321</v>
      </c>
    </row>
    <row r="1230" spans="1:5" x14ac:dyDescent="0.35">
      <c r="A1230" t="s">
        <v>582</v>
      </c>
      <c r="B1230" t="s">
        <v>2322</v>
      </c>
      <c r="C1230">
        <v>6</v>
      </c>
      <c r="D1230">
        <v>1357</v>
      </c>
      <c r="E1230" t="s">
        <v>2323</v>
      </c>
    </row>
    <row r="1231" spans="1:5" x14ac:dyDescent="0.35">
      <c r="A1231" t="s">
        <v>582</v>
      </c>
      <c r="B1231" t="s">
        <v>2324</v>
      </c>
      <c r="C1231">
        <v>6</v>
      </c>
      <c r="D1231">
        <v>1358</v>
      </c>
      <c r="E1231" t="s">
        <v>2325</v>
      </c>
    </row>
    <row r="1232" spans="1:5" x14ac:dyDescent="0.35">
      <c r="A1232" t="s">
        <v>582</v>
      </c>
      <c r="B1232" t="s">
        <v>2326</v>
      </c>
      <c r="C1232">
        <v>6</v>
      </c>
      <c r="D1232">
        <v>1359</v>
      </c>
      <c r="E1232" t="s">
        <v>2327</v>
      </c>
    </row>
    <row r="1233" spans="1:5" x14ac:dyDescent="0.35">
      <c r="A1233" t="s">
        <v>582</v>
      </c>
      <c r="B1233" t="s">
        <v>2328</v>
      </c>
      <c r="C1233">
        <v>6</v>
      </c>
      <c r="D1233">
        <v>1360</v>
      </c>
      <c r="E1233" t="s">
        <v>2329</v>
      </c>
    </row>
    <row r="1234" spans="1:5" x14ac:dyDescent="0.35">
      <c r="A1234" t="s">
        <v>582</v>
      </c>
      <c r="B1234" t="s">
        <v>2330</v>
      </c>
      <c r="C1234">
        <v>6</v>
      </c>
      <c r="D1234">
        <v>1361</v>
      </c>
      <c r="E1234" t="s">
        <v>2331</v>
      </c>
    </row>
    <row r="1235" spans="1:5" x14ac:dyDescent="0.35">
      <c r="A1235" t="s">
        <v>582</v>
      </c>
      <c r="B1235" t="s">
        <v>2332</v>
      </c>
      <c r="C1235">
        <v>6</v>
      </c>
      <c r="D1235">
        <v>1983</v>
      </c>
      <c r="E1235" t="s">
        <v>2333</v>
      </c>
    </row>
    <row r="1236" spans="1:5" x14ac:dyDescent="0.35">
      <c r="A1236" t="s">
        <v>582</v>
      </c>
      <c r="B1236" t="s">
        <v>2334</v>
      </c>
      <c r="C1236">
        <v>6</v>
      </c>
      <c r="D1236">
        <v>2091</v>
      </c>
      <c r="E1236" t="s">
        <v>2335</v>
      </c>
    </row>
    <row r="1237" spans="1:5" x14ac:dyDescent="0.35">
      <c r="A1237" t="s">
        <v>579</v>
      </c>
      <c r="B1237" t="s">
        <v>2336</v>
      </c>
      <c r="C1237">
        <v>4</v>
      </c>
      <c r="D1237">
        <v>1362</v>
      </c>
      <c r="E1237" t="s">
        <v>2337</v>
      </c>
    </row>
    <row r="1238" spans="1:5" x14ac:dyDescent="0.35">
      <c r="A1238" t="s">
        <v>579</v>
      </c>
      <c r="B1238" t="s">
        <v>2338</v>
      </c>
      <c r="C1238">
        <v>5</v>
      </c>
      <c r="D1238">
        <v>1363</v>
      </c>
      <c r="E1238" t="s">
        <v>2337</v>
      </c>
    </row>
    <row r="1239" spans="1:5" x14ac:dyDescent="0.35">
      <c r="A1239" t="s">
        <v>582</v>
      </c>
      <c r="B1239" t="s">
        <v>2339</v>
      </c>
      <c r="C1239">
        <v>6</v>
      </c>
      <c r="D1239">
        <v>1364</v>
      </c>
      <c r="E1239" t="s">
        <v>2290</v>
      </c>
    </row>
    <row r="1240" spans="1:5" x14ac:dyDescent="0.35">
      <c r="A1240" t="s">
        <v>582</v>
      </c>
      <c r="B1240" t="s">
        <v>2340</v>
      </c>
      <c r="C1240">
        <v>6</v>
      </c>
      <c r="D1240">
        <v>1365</v>
      </c>
      <c r="E1240" t="s">
        <v>2292</v>
      </c>
    </row>
    <row r="1241" spans="1:5" x14ac:dyDescent="0.35">
      <c r="A1241" t="s">
        <v>582</v>
      </c>
      <c r="B1241" t="s">
        <v>2341</v>
      </c>
      <c r="C1241">
        <v>6</v>
      </c>
      <c r="D1241">
        <v>1366</v>
      </c>
      <c r="E1241" t="s">
        <v>164</v>
      </c>
    </row>
    <row r="1242" spans="1:5" x14ac:dyDescent="0.35">
      <c r="A1242" t="s">
        <v>582</v>
      </c>
      <c r="B1242" t="s">
        <v>2342</v>
      </c>
      <c r="C1242">
        <v>6</v>
      </c>
      <c r="D1242">
        <v>1367</v>
      </c>
      <c r="E1242" t="s">
        <v>504</v>
      </c>
    </row>
    <row r="1243" spans="1:5" x14ac:dyDescent="0.35">
      <c r="A1243" t="s">
        <v>582</v>
      </c>
      <c r="B1243" t="s">
        <v>2343</v>
      </c>
      <c r="C1243">
        <v>6</v>
      </c>
      <c r="D1243">
        <v>1368</v>
      </c>
      <c r="E1243" t="s">
        <v>2296</v>
      </c>
    </row>
    <row r="1244" spans="1:5" x14ac:dyDescent="0.35">
      <c r="A1244" t="s">
        <v>582</v>
      </c>
      <c r="B1244" t="s">
        <v>2344</v>
      </c>
      <c r="C1244">
        <v>6</v>
      </c>
      <c r="D1244">
        <v>1369</v>
      </c>
      <c r="E1244" t="s">
        <v>2298</v>
      </c>
    </row>
    <row r="1245" spans="1:5" x14ac:dyDescent="0.35">
      <c r="A1245" t="s">
        <v>582</v>
      </c>
      <c r="B1245" t="s">
        <v>2345</v>
      </c>
      <c r="C1245">
        <v>6</v>
      </c>
      <c r="D1245">
        <v>1370</v>
      </c>
      <c r="E1245" t="s">
        <v>2300</v>
      </c>
    </row>
    <row r="1246" spans="1:5" x14ac:dyDescent="0.35">
      <c r="A1246" t="s">
        <v>582</v>
      </c>
      <c r="B1246" t="s">
        <v>2346</v>
      </c>
      <c r="C1246">
        <v>6</v>
      </c>
      <c r="D1246">
        <v>1371</v>
      </c>
      <c r="E1246" t="s">
        <v>2302</v>
      </c>
    </row>
    <row r="1247" spans="1:5" x14ac:dyDescent="0.35">
      <c r="A1247" t="s">
        <v>582</v>
      </c>
      <c r="B1247" t="s">
        <v>2347</v>
      </c>
      <c r="C1247">
        <v>6</v>
      </c>
      <c r="D1247">
        <v>1889</v>
      </c>
      <c r="E1247" t="s">
        <v>2348</v>
      </c>
    </row>
    <row r="1248" spans="1:5" x14ac:dyDescent="0.35">
      <c r="A1248" t="s">
        <v>582</v>
      </c>
      <c r="B1248" t="s">
        <v>2349</v>
      </c>
      <c r="C1248">
        <v>6</v>
      </c>
      <c r="D1248">
        <v>1990</v>
      </c>
      <c r="E1248" t="s">
        <v>2306</v>
      </c>
    </row>
    <row r="1249" spans="1:5" x14ac:dyDescent="0.35">
      <c r="A1249" t="s">
        <v>582</v>
      </c>
      <c r="B1249" t="s">
        <v>2350</v>
      </c>
      <c r="C1249">
        <v>6</v>
      </c>
      <c r="D1249">
        <v>2092</v>
      </c>
      <c r="E1249" t="s">
        <v>2308</v>
      </c>
    </row>
    <row r="1250" spans="1:5" x14ac:dyDescent="0.35">
      <c r="A1250" t="s">
        <v>582</v>
      </c>
      <c r="B1250" t="s">
        <v>2351</v>
      </c>
      <c r="C1250">
        <v>6</v>
      </c>
      <c r="D1250">
        <v>2283</v>
      </c>
      <c r="E1250" t="s">
        <v>2352</v>
      </c>
    </row>
    <row r="1251" spans="1:5" x14ac:dyDescent="0.35">
      <c r="A1251" t="s">
        <v>582</v>
      </c>
      <c r="B1251" t="s">
        <v>2353</v>
      </c>
      <c r="C1251">
        <v>6</v>
      </c>
      <c r="D1251">
        <v>2284</v>
      </c>
      <c r="E1251" t="s">
        <v>2354</v>
      </c>
    </row>
    <row r="1252" spans="1:5" x14ac:dyDescent="0.35">
      <c r="A1252" t="s">
        <v>582</v>
      </c>
      <c r="B1252" t="s">
        <v>2355</v>
      </c>
      <c r="C1252">
        <v>6</v>
      </c>
      <c r="D1252">
        <v>2217</v>
      </c>
      <c r="E1252" t="s">
        <v>2356</v>
      </c>
    </row>
    <row r="1253" spans="1:5" x14ac:dyDescent="0.35">
      <c r="A1253" t="s">
        <v>579</v>
      </c>
      <c r="B1253" t="s">
        <v>2357</v>
      </c>
      <c r="C1253">
        <v>5</v>
      </c>
      <c r="D1253">
        <v>214</v>
      </c>
      <c r="E1253" t="s">
        <v>2358</v>
      </c>
    </row>
    <row r="1254" spans="1:5" x14ac:dyDescent="0.35">
      <c r="A1254" t="s">
        <v>582</v>
      </c>
      <c r="B1254" t="s">
        <v>2359</v>
      </c>
      <c r="C1254">
        <v>6</v>
      </c>
      <c r="D1254">
        <v>1372</v>
      </c>
      <c r="E1254" t="s">
        <v>2360</v>
      </c>
    </row>
    <row r="1255" spans="1:5" x14ac:dyDescent="0.35">
      <c r="A1255" t="s">
        <v>582</v>
      </c>
      <c r="B1255" t="s">
        <v>2361</v>
      </c>
      <c r="C1255">
        <v>6</v>
      </c>
      <c r="D1255">
        <v>2095</v>
      </c>
      <c r="E1255" t="s">
        <v>2362</v>
      </c>
    </row>
    <row r="1256" spans="1:5" x14ac:dyDescent="0.35">
      <c r="A1256" t="s">
        <v>579</v>
      </c>
      <c r="B1256" t="s">
        <v>2363</v>
      </c>
      <c r="C1256">
        <v>4</v>
      </c>
      <c r="D1256">
        <v>1373</v>
      </c>
      <c r="E1256" t="s">
        <v>2364</v>
      </c>
    </row>
    <row r="1257" spans="1:5" x14ac:dyDescent="0.35">
      <c r="A1257" t="s">
        <v>579</v>
      </c>
      <c r="B1257" t="s">
        <v>2365</v>
      </c>
      <c r="C1257">
        <v>5</v>
      </c>
      <c r="D1257">
        <v>1374</v>
      </c>
      <c r="E1257" t="s">
        <v>2366</v>
      </c>
    </row>
    <row r="1258" spans="1:5" x14ac:dyDescent="0.35">
      <c r="A1258" t="s">
        <v>582</v>
      </c>
      <c r="B1258" t="s">
        <v>2367</v>
      </c>
      <c r="C1258">
        <v>6</v>
      </c>
      <c r="D1258">
        <v>1375</v>
      </c>
      <c r="E1258" t="s">
        <v>2290</v>
      </c>
    </row>
    <row r="1259" spans="1:5" x14ac:dyDescent="0.35">
      <c r="A1259" t="s">
        <v>582</v>
      </c>
      <c r="B1259" t="s">
        <v>2368</v>
      </c>
      <c r="C1259">
        <v>6</v>
      </c>
      <c r="D1259">
        <v>1376</v>
      </c>
      <c r="E1259" t="s">
        <v>2292</v>
      </c>
    </row>
    <row r="1260" spans="1:5" x14ac:dyDescent="0.35">
      <c r="A1260" t="s">
        <v>582</v>
      </c>
      <c r="B1260" t="s">
        <v>2369</v>
      </c>
      <c r="C1260">
        <v>6</v>
      </c>
      <c r="D1260">
        <v>1377</v>
      </c>
      <c r="E1260" t="s">
        <v>164</v>
      </c>
    </row>
    <row r="1261" spans="1:5" x14ac:dyDescent="0.35">
      <c r="A1261" t="s">
        <v>582</v>
      </c>
      <c r="B1261" t="s">
        <v>2370</v>
      </c>
      <c r="C1261">
        <v>6</v>
      </c>
      <c r="D1261">
        <v>1378</v>
      </c>
      <c r="E1261" t="s">
        <v>504</v>
      </c>
    </row>
    <row r="1262" spans="1:5" x14ac:dyDescent="0.35">
      <c r="A1262" t="s">
        <v>582</v>
      </c>
      <c r="B1262" t="s">
        <v>2371</v>
      </c>
      <c r="C1262">
        <v>6</v>
      </c>
      <c r="D1262">
        <v>1379</v>
      </c>
      <c r="E1262" t="s">
        <v>2296</v>
      </c>
    </row>
    <row r="1263" spans="1:5" x14ac:dyDescent="0.35">
      <c r="A1263" t="s">
        <v>582</v>
      </c>
      <c r="B1263" t="s">
        <v>2372</v>
      </c>
      <c r="C1263">
        <v>6</v>
      </c>
      <c r="D1263">
        <v>1380</v>
      </c>
      <c r="E1263" t="s">
        <v>2298</v>
      </c>
    </row>
    <row r="1264" spans="1:5" x14ac:dyDescent="0.35">
      <c r="A1264" t="s">
        <v>582</v>
      </c>
      <c r="B1264" t="s">
        <v>2373</v>
      </c>
      <c r="C1264">
        <v>6</v>
      </c>
      <c r="D1264">
        <v>1381</v>
      </c>
      <c r="E1264" t="s">
        <v>2374</v>
      </c>
    </row>
    <row r="1265" spans="1:5" x14ac:dyDescent="0.35">
      <c r="A1265" t="s">
        <v>582</v>
      </c>
      <c r="B1265" t="s">
        <v>2375</v>
      </c>
      <c r="C1265">
        <v>6</v>
      </c>
      <c r="D1265">
        <v>1382</v>
      </c>
      <c r="E1265" t="s">
        <v>2376</v>
      </c>
    </row>
    <row r="1266" spans="1:5" x14ac:dyDescent="0.35">
      <c r="A1266" t="s">
        <v>582</v>
      </c>
      <c r="B1266" t="s">
        <v>2377</v>
      </c>
      <c r="C1266">
        <v>6</v>
      </c>
      <c r="D1266">
        <v>1890</v>
      </c>
      <c r="E1266" t="s">
        <v>2378</v>
      </c>
    </row>
    <row r="1267" spans="1:5" x14ac:dyDescent="0.35">
      <c r="A1267" t="s">
        <v>582</v>
      </c>
      <c r="B1267" t="s">
        <v>2379</v>
      </c>
      <c r="C1267">
        <v>6</v>
      </c>
      <c r="D1267">
        <v>1984</v>
      </c>
      <c r="E1267" t="s">
        <v>2380</v>
      </c>
    </row>
    <row r="1268" spans="1:5" x14ac:dyDescent="0.35">
      <c r="A1268" t="s">
        <v>582</v>
      </c>
      <c r="B1268" t="s">
        <v>2381</v>
      </c>
      <c r="C1268">
        <v>6</v>
      </c>
      <c r="D1268">
        <v>1985</v>
      </c>
      <c r="E1268" t="s">
        <v>2306</v>
      </c>
    </row>
    <row r="1269" spans="1:5" x14ac:dyDescent="0.35">
      <c r="A1269" t="s">
        <v>582</v>
      </c>
      <c r="B1269" t="s">
        <v>2382</v>
      </c>
      <c r="C1269">
        <v>6</v>
      </c>
      <c r="D1269">
        <v>2093</v>
      </c>
      <c r="E1269" t="s">
        <v>2308</v>
      </c>
    </row>
    <row r="1270" spans="1:5" x14ac:dyDescent="0.35">
      <c r="A1270" t="s">
        <v>579</v>
      </c>
      <c r="B1270" t="s">
        <v>2383</v>
      </c>
      <c r="C1270">
        <v>5</v>
      </c>
      <c r="D1270">
        <v>1383</v>
      </c>
      <c r="E1270" t="s">
        <v>2384</v>
      </c>
    </row>
    <row r="1271" spans="1:5" x14ac:dyDescent="0.35">
      <c r="A1271" t="s">
        <v>582</v>
      </c>
      <c r="B1271" t="s">
        <v>2385</v>
      </c>
      <c r="C1271">
        <v>6</v>
      </c>
      <c r="D1271">
        <v>1384</v>
      </c>
      <c r="E1271" t="s">
        <v>2290</v>
      </c>
    </row>
    <row r="1272" spans="1:5" x14ac:dyDescent="0.35">
      <c r="A1272" t="s">
        <v>582</v>
      </c>
      <c r="B1272" t="s">
        <v>2386</v>
      </c>
      <c r="C1272">
        <v>6</v>
      </c>
      <c r="D1272">
        <v>1385</v>
      </c>
      <c r="E1272" t="s">
        <v>2292</v>
      </c>
    </row>
    <row r="1273" spans="1:5" x14ac:dyDescent="0.35">
      <c r="A1273" t="s">
        <v>582</v>
      </c>
      <c r="B1273" t="s">
        <v>2387</v>
      </c>
      <c r="C1273">
        <v>6</v>
      </c>
      <c r="D1273">
        <v>1386</v>
      </c>
      <c r="E1273" t="s">
        <v>164</v>
      </c>
    </row>
    <row r="1274" spans="1:5" x14ac:dyDescent="0.35">
      <c r="A1274" t="s">
        <v>582</v>
      </c>
      <c r="B1274" t="s">
        <v>2388</v>
      </c>
      <c r="C1274">
        <v>6</v>
      </c>
      <c r="D1274">
        <v>1387</v>
      </c>
      <c r="E1274" t="s">
        <v>504</v>
      </c>
    </row>
    <row r="1275" spans="1:5" x14ac:dyDescent="0.35">
      <c r="A1275" t="s">
        <v>582</v>
      </c>
      <c r="B1275" t="s">
        <v>2389</v>
      </c>
      <c r="C1275">
        <v>6</v>
      </c>
      <c r="D1275">
        <v>1388</v>
      </c>
      <c r="E1275" t="s">
        <v>2296</v>
      </c>
    </row>
    <row r="1276" spans="1:5" x14ac:dyDescent="0.35">
      <c r="A1276" t="s">
        <v>582</v>
      </c>
      <c r="B1276" t="s">
        <v>2390</v>
      </c>
      <c r="C1276">
        <v>6</v>
      </c>
      <c r="D1276">
        <v>1389</v>
      </c>
      <c r="E1276" t="s">
        <v>2298</v>
      </c>
    </row>
    <row r="1277" spans="1:5" x14ac:dyDescent="0.35">
      <c r="A1277" t="s">
        <v>582</v>
      </c>
      <c r="B1277" t="s">
        <v>2391</v>
      </c>
      <c r="C1277">
        <v>6</v>
      </c>
      <c r="D1277">
        <v>1390</v>
      </c>
      <c r="E1277" t="s">
        <v>2374</v>
      </c>
    </row>
    <row r="1278" spans="1:5" x14ac:dyDescent="0.35">
      <c r="A1278" t="s">
        <v>582</v>
      </c>
      <c r="B1278" t="s">
        <v>2392</v>
      </c>
      <c r="C1278">
        <v>6</v>
      </c>
      <c r="D1278">
        <v>1391</v>
      </c>
      <c r="E1278" t="s">
        <v>2376</v>
      </c>
    </row>
    <row r="1279" spans="1:5" x14ac:dyDescent="0.35">
      <c r="A1279" t="s">
        <v>582</v>
      </c>
      <c r="B1279" t="s">
        <v>2393</v>
      </c>
      <c r="C1279">
        <v>6</v>
      </c>
      <c r="D1279">
        <v>1891</v>
      </c>
      <c r="E1279" t="s">
        <v>2394</v>
      </c>
    </row>
    <row r="1280" spans="1:5" x14ac:dyDescent="0.35">
      <c r="A1280" t="s">
        <v>582</v>
      </c>
      <c r="B1280" t="s">
        <v>2395</v>
      </c>
      <c r="C1280">
        <v>6</v>
      </c>
      <c r="D1280">
        <v>1986</v>
      </c>
      <c r="E1280" t="s">
        <v>2380</v>
      </c>
    </row>
    <row r="1281" spans="1:5" x14ac:dyDescent="0.35">
      <c r="A1281" t="s">
        <v>582</v>
      </c>
      <c r="B1281" t="s">
        <v>2396</v>
      </c>
      <c r="C1281">
        <v>6</v>
      </c>
      <c r="D1281">
        <v>1987</v>
      </c>
      <c r="E1281" t="s">
        <v>2306</v>
      </c>
    </row>
    <row r="1282" spans="1:5" x14ac:dyDescent="0.35">
      <c r="A1282" t="s">
        <v>582</v>
      </c>
      <c r="B1282" t="s">
        <v>2397</v>
      </c>
      <c r="C1282">
        <v>6</v>
      </c>
      <c r="D1282">
        <v>2094</v>
      </c>
      <c r="E1282" t="s">
        <v>2308</v>
      </c>
    </row>
    <row r="1283" spans="1:5" x14ac:dyDescent="0.35">
      <c r="A1283" t="s">
        <v>579</v>
      </c>
      <c r="B1283" t="s">
        <v>2398</v>
      </c>
      <c r="C1283">
        <v>5</v>
      </c>
      <c r="D1283">
        <v>1392</v>
      </c>
      <c r="E1283" t="s">
        <v>2399</v>
      </c>
    </row>
    <row r="1284" spans="1:5" x14ac:dyDescent="0.35">
      <c r="A1284" t="s">
        <v>582</v>
      </c>
      <c r="B1284" t="s">
        <v>2400</v>
      </c>
      <c r="C1284">
        <v>6</v>
      </c>
      <c r="D1284">
        <v>1393</v>
      </c>
      <c r="E1284" t="s">
        <v>2399</v>
      </c>
    </row>
    <row r="1285" spans="1:5" x14ac:dyDescent="0.35">
      <c r="A1285" t="s">
        <v>579</v>
      </c>
      <c r="B1285" t="s">
        <v>2401</v>
      </c>
      <c r="C1285">
        <v>5</v>
      </c>
      <c r="D1285">
        <v>1394</v>
      </c>
      <c r="E1285" t="s">
        <v>2402</v>
      </c>
    </row>
    <row r="1286" spans="1:5" x14ac:dyDescent="0.35">
      <c r="A1286" t="s">
        <v>582</v>
      </c>
      <c r="B1286" t="s">
        <v>2403</v>
      </c>
      <c r="C1286">
        <v>6</v>
      </c>
      <c r="D1286">
        <v>1395</v>
      </c>
      <c r="E1286" t="s">
        <v>2404</v>
      </c>
    </row>
    <row r="1287" spans="1:5" x14ac:dyDescent="0.35">
      <c r="A1287" t="s">
        <v>579</v>
      </c>
      <c r="B1287" t="s">
        <v>2405</v>
      </c>
      <c r="C1287">
        <v>5</v>
      </c>
      <c r="D1287">
        <v>2218</v>
      </c>
      <c r="E1287" t="s">
        <v>2406</v>
      </c>
    </row>
    <row r="1288" spans="1:5" x14ac:dyDescent="0.35">
      <c r="A1288" t="s">
        <v>582</v>
      </c>
      <c r="B1288" t="s">
        <v>2407</v>
      </c>
      <c r="C1288">
        <v>6</v>
      </c>
      <c r="D1288">
        <v>2219</v>
      </c>
      <c r="E1288" t="s">
        <v>2408</v>
      </c>
    </row>
    <row r="1289" spans="1:5" x14ac:dyDescent="0.35">
      <c r="A1289" t="s">
        <v>579</v>
      </c>
      <c r="B1289" t="s">
        <v>2409</v>
      </c>
      <c r="C1289">
        <v>4</v>
      </c>
      <c r="D1289">
        <v>1396</v>
      </c>
      <c r="E1289" t="s">
        <v>2410</v>
      </c>
    </row>
    <row r="1290" spans="1:5" x14ac:dyDescent="0.35">
      <c r="A1290" t="s">
        <v>579</v>
      </c>
      <c r="B1290" t="s">
        <v>2411</v>
      </c>
      <c r="C1290">
        <v>5</v>
      </c>
      <c r="D1290">
        <v>1397</v>
      </c>
      <c r="E1290" t="s">
        <v>2410</v>
      </c>
    </row>
    <row r="1291" spans="1:5" x14ac:dyDescent="0.35">
      <c r="A1291" t="s">
        <v>582</v>
      </c>
      <c r="B1291" t="s">
        <v>2412</v>
      </c>
      <c r="C1291">
        <v>6</v>
      </c>
      <c r="D1291">
        <v>1398</v>
      </c>
      <c r="E1291" t="s">
        <v>2413</v>
      </c>
    </row>
    <row r="1292" spans="1:5" x14ac:dyDescent="0.35">
      <c r="A1292" t="s">
        <v>582</v>
      </c>
      <c r="B1292" t="s">
        <v>2414</v>
      </c>
      <c r="C1292">
        <v>6</v>
      </c>
      <c r="D1292">
        <v>1399</v>
      </c>
      <c r="E1292" t="s">
        <v>2415</v>
      </c>
    </row>
    <row r="1293" spans="1:5" x14ac:dyDescent="0.35">
      <c r="A1293" t="s">
        <v>582</v>
      </c>
      <c r="B1293" t="s">
        <v>2416</v>
      </c>
      <c r="C1293">
        <v>6</v>
      </c>
      <c r="D1293">
        <v>1400</v>
      </c>
      <c r="E1293" t="s">
        <v>2417</v>
      </c>
    </row>
    <row r="1294" spans="1:5" x14ac:dyDescent="0.35">
      <c r="A1294" t="s">
        <v>582</v>
      </c>
      <c r="B1294" t="s">
        <v>2418</v>
      </c>
      <c r="C1294">
        <v>6</v>
      </c>
      <c r="D1294">
        <v>1401</v>
      </c>
      <c r="E1294" t="s">
        <v>171</v>
      </c>
    </row>
    <row r="1295" spans="1:5" x14ac:dyDescent="0.35">
      <c r="A1295" t="s">
        <v>582</v>
      </c>
      <c r="B1295" t="s">
        <v>2419</v>
      </c>
      <c r="C1295">
        <v>6</v>
      </c>
      <c r="D1295">
        <v>1402</v>
      </c>
      <c r="E1295" t="s">
        <v>2420</v>
      </c>
    </row>
    <row r="1296" spans="1:5" x14ac:dyDescent="0.35">
      <c r="A1296" t="s">
        <v>582</v>
      </c>
      <c r="B1296" t="s">
        <v>2421</v>
      </c>
      <c r="C1296">
        <v>6</v>
      </c>
      <c r="D1296">
        <v>1403</v>
      </c>
      <c r="E1296" t="s">
        <v>2422</v>
      </c>
    </row>
    <row r="1297" spans="1:5" x14ac:dyDescent="0.35">
      <c r="A1297" t="s">
        <v>582</v>
      </c>
      <c r="B1297" t="s">
        <v>2423</v>
      </c>
      <c r="C1297">
        <v>6</v>
      </c>
      <c r="D1297">
        <v>1404</v>
      </c>
      <c r="E1297" t="s">
        <v>2424</v>
      </c>
    </row>
    <row r="1298" spans="1:5" x14ac:dyDescent="0.35">
      <c r="A1298" t="s">
        <v>582</v>
      </c>
      <c r="B1298" t="s">
        <v>2425</v>
      </c>
      <c r="C1298">
        <v>6</v>
      </c>
      <c r="D1298">
        <v>1405</v>
      </c>
      <c r="E1298" t="s">
        <v>504</v>
      </c>
    </row>
    <row r="1299" spans="1:5" x14ac:dyDescent="0.35">
      <c r="A1299" t="s">
        <v>582</v>
      </c>
      <c r="B1299" t="s">
        <v>2426</v>
      </c>
      <c r="C1299">
        <v>6</v>
      </c>
      <c r="D1299">
        <v>1406</v>
      </c>
      <c r="E1299" t="s">
        <v>2427</v>
      </c>
    </row>
    <row r="1300" spans="1:5" x14ac:dyDescent="0.35">
      <c r="A1300" t="s">
        <v>582</v>
      </c>
      <c r="B1300" t="s">
        <v>2428</v>
      </c>
      <c r="C1300">
        <v>6</v>
      </c>
      <c r="D1300">
        <v>1407</v>
      </c>
      <c r="E1300" t="s">
        <v>2308</v>
      </c>
    </row>
    <row r="1301" spans="1:5" x14ac:dyDescent="0.35">
      <c r="A1301" t="s">
        <v>582</v>
      </c>
      <c r="B1301" t="s">
        <v>2429</v>
      </c>
      <c r="C1301">
        <v>6</v>
      </c>
      <c r="D1301">
        <v>1408</v>
      </c>
      <c r="E1301" t="s">
        <v>471</v>
      </c>
    </row>
    <row r="1302" spans="1:5" x14ac:dyDescent="0.35">
      <c r="A1302" t="s">
        <v>582</v>
      </c>
      <c r="B1302" t="s">
        <v>2430</v>
      </c>
      <c r="C1302">
        <v>6</v>
      </c>
      <c r="D1302">
        <v>1409</v>
      </c>
      <c r="E1302" t="s">
        <v>2431</v>
      </c>
    </row>
    <row r="1303" spans="1:5" x14ac:dyDescent="0.35">
      <c r="A1303" t="s">
        <v>579</v>
      </c>
      <c r="B1303" t="s">
        <v>2432</v>
      </c>
      <c r="C1303">
        <v>5</v>
      </c>
      <c r="D1303">
        <v>1410</v>
      </c>
      <c r="E1303" t="s">
        <v>2433</v>
      </c>
    </row>
    <row r="1304" spans="1:5" x14ac:dyDescent="0.35">
      <c r="A1304" t="s">
        <v>582</v>
      </c>
      <c r="B1304" t="s">
        <v>2434</v>
      </c>
      <c r="C1304">
        <v>6</v>
      </c>
      <c r="D1304">
        <v>1411</v>
      </c>
      <c r="E1304" t="s">
        <v>2435</v>
      </c>
    </row>
    <row r="1305" spans="1:5" x14ac:dyDescent="0.35">
      <c r="A1305" t="s">
        <v>579</v>
      </c>
      <c r="B1305" t="s">
        <v>454</v>
      </c>
      <c r="C1305">
        <v>4</v>
      </c>
      <c r="D1305">
        <v>1412</v>
      </c>
      <c r="E1305" t="s">
        <v>455</v>
      </c>
    </row>
    <row r="1306" spans="1:5" x14ac:dyDescent="0.35">
      <c r="A1306" t="s">
        <v>579</v>
      </c>
      <c r="B1306" t="s">
        <v>2436</v>
      </c>
      <c r="C1306">
        <v>5</v>
      </c>
      <c r="D1306">
        <v>1413</v>
      </c>
      <c r="E1306" t="s">
        <v>455</v>
      </c>
    </row>
    <row r="1307" spans="1:5" x14ac:dyDescent="0.35">
      <c r="A1307" t="s">
        <v>582</v>
      </c>
      <c r="B1307" t="s">
        <v>2437</v>
      </c>
      <c r="C1307">
        <v>6</v>
      </c>
      <c r="D1307">
        <v>1414</v>
      </c>
      <c r="E1307" t="s">
        <v>2438</v>
      </c>
    </row>
    <row r="1308" spans="1:5" x14ac:dyDescent="0.35">
      <c r="A1308" t="s">
        <v>582</v>
      </c>
      <c r="B1308" t="s">
        <v>2439</v>
      </c>
      <c r="C1308">
        <v>6</v>
      </c>
      <c r="D1308">
        <v>2285</v>
      </c>
      <c r="E1308" t="s">
        <v>2440</v>
      </c>
    </row>
    <row r="1309" spans="1:5" x14ac:dyDescent="0.35">
      <c r="A1309" t="s">
        <v>579</v>
      </c>
      <c r="B1309" t="s">
        <v>457</v>
      </c>
      <c r="C1309">
        <v>5</v>
      </c>
      <c r="D1309">
        <v>1415</v>
      </c>
      <c r="E1309" t="s">
        <v>458</v>
      </c>
    </row>
    <row r="1310" spans="1:5" x14ac:dyDescent="0.35">
      <c r="A1310" t="s">
        <v>582</v>
      </c>
      <c r="B1310" t="s">
        <v>2441</v>
      </c>
      <c r="C1310">
        <v>6</v>
      </c>
      <c r="D1310">
        <v>1416</v>
      </c>
      <c r="E1310" t="s">
        <v>2442</v>
      </c>
    </row>
    <row r="1311" spans="1:5" x14ac:dyDescent="0.35">
      <c r="A1311" t="s">
        <v>582</v>
      </c>
      <c r="B1311" t="s">
        <v>460</v>
      </c>
      <c r="C1311">
        <v>6</v>
      </c>
      <c r="D1311">
        <v>1417</v>
      </c>
      <c r="E1311" t="s">
        <v>2443</v>
      </c>
    </row>
    <row r="1312" spans="1:5" x14ac:dyDescent="0.35">
      <c r="A1312" t="s">
        <v>582</v>
      </c>
      <c r="B1312" t="s">
        <v>2444</v>
      </c>
      <c r="C1312">
        <v>6</v>
      </c>
      <c r="D1312">
        <v>1418</v>
      </c>
      <c r="E1312" t="s">
        <v>2445</v>
      </c>
    </row>
    <row r="1313" spans="1:5" x14ac:dyDescent="0.35">
      <c r="A1313" t="s">
        <v>582</v>
      </c>
      <c r="B1313" t="s">
        <v>2446</v>
      </c>
      <c r="C1313">
        <v>6</v>
      </c>
      <c r="D1313">
        <v>1892</v>
      </c>
      <c r="E1313" t="s">
        <v>2447</v>
      </c>
    </row>
    <row r="1314" spans="1:5" x14ac:dyDescent="0.35">
      <c r="A1314" t="s">
        <v>582</v>
      </c>
      <c r="B1314" t="s">
        <v>2448</v>
      </c>
      <c r="C1314">
        <v>6</v>
      </c>
      <c r="D1314">
        <v>1893</v>
      </c>
      <c r="E1314" t="s">
        <v>2449</v>
      </c>
    </row>
    <row r="1315" spans="1:5" x14ac:dyDescent="0.35">
      <c r="A1315" t="s">
        <v>582</v>
      </c>
      <c r="B1315" t="s">
        <v>2450</v>
      </c>
      <c r="C1315">
        <v>6</v>
      </c>
      <c r="D1315">
        <v>1894</v>
      </c>
      <c r="E1315" t="s">
        <v>2451</v>
      </c>
    </row>
    <row r="1316" spans="1:5" x14ac:dyDescent="0.35">
      <c r="A1316" t="s">
        <v>582</v>
      </c>
      <c r="B1316" t="s">
        <v>463</v>
      </c>
      <c r="C1316">
        <v>6</v>
      </c>
      <c r="D1316">
        <v>1967</v>
      </c>
      <c r="E1316" t="s">
        <v>2452</v>
      </c>
    </row>
    <row r="1317" spans="1:5" x14ac:dyDescent="0.35">
      <c r="A1317" t="s">
        <v>582</v>
      </c>
      <c r="B1317" t="s">
        <v>2453</v>
      </c>
      <c r="C1317">
        <v>6</v>
      </c>
      <c r="D1317">
        <v>1942</v>
      </c>
      <c r="E1317" t="s">
        <v>2454</v>
      </c>
    </row>
    <row r="1318" spans="1:5" x14ac:dyDescent="0.35">
      <c r="A1318" t="s">
        <v>582</v>
      </c>
      <c r="B1318" t="s">
        <v>2455</v>
      </c>
      <c r="C1318">
        <v>6</v>
      </c>
      <c r="D1318">
        <v>1419</v>
      </c>
      <c r="E1318" t="s">
        <v>2456</v>
      </c>
    </row>
    <row r="1319" spans="1:5" x14ac:dyDescent="0.35">
      <c r="A1319" t="s">
        <v>582</v>
      </c>
      <c r="B1319" t="s">
        <v>2457</v>
      </c>
      <c r="C1319">
        <v>6</v>
      </c>
      <c r="D1319">
        <v>1420</v>
      </c>
      <c r="E1319" t="s">
        <v>2458</v>
      </c>
    </row>
    <row r="1320" spans="1:5" x14ac:dyDescent="0.35">
      <c r="A1320" t="s">
        <v>582</v>
      </c>
      <c r="B1320" t="s">
        <v>2459</v>
      </c>
      <c r="C1320">
        <v>6</v>
      </c>
      <c r="D1320">
        <v>1421</v>
      </c>
      <c r="E1320" t="s">
        <v>2460</v>
      </c>
    </row>
    <row r="1321" spans="1:5" x14ac:dyDescent="0.35">
      <c r="A1321" t="s">
        <v>579</v>
      </c>
      <c r="B1321" t="s">
        <v>561</v>
      </c>
      <c r="C1321">
        <v>5</v>
      </c>
      <c r="D1321">
        <v>1422</v>
      </c>
      <c r="E1321" t="s">
        <v>562</v>
      </c>
    </row>
    <row r="1322" spans="1:5" x14ac:dyDescent="0.35">
      <c r="A1322" t="s">
        <v>582</v>
      </c>
      <c r="B1322" t="s">
        <v>2461</v>
      </c>
      <c r="C1322">
        <v>6</v>
      </c>
      <c r="D1322">
        <v>1423</v>
      </c>
      <c r="E1322" t="s">
        <v>2462</v>
      </c>
    </row>
    <row r="1323" spans="1:5" x14ac:dyDescent="0.35">
      <c r="A1323" t="s">
        <v>582</v>
      </c>
      <c r="B1323" t="s">
        <v>563</v>
      </c>
      <c r="C1323">
        <v>6</v>
      </c>
      <c r="D1323">
        <v>1424</v>
      </c>
      <c r="E1323" t="s">
        <v>564</v>
      </c>
    </row>
    <row r="1324" spans="1:5" x14ac:dyDescent="0.35">
      <c r="A1324" t="s">
        <v>582</v>
      </c>
      <c r="B1324" t="s">
        <v>2463</v>
      </c>
      <c r="C1324">
        <v>6</v>
      </c>
      <c r="D1324">
        <v>1425</v>
      </c>
      <c r="E1324" t="s">
        <v>2464</v>
      </c>
    </row>
    <row r="1325" spans="1:5" x14ac:dyDescent="0.35">
      <c r="A1325" t="s">
        <v>582</v>
      </c>
      <c r="B1325" t="s">
        <v>2465</v>
      </c>
      <c r="C1325">
        <v>6</v>
      </c>
      <c r="D1325">
        <v>2231</v>
      </c>
      <c r="E1325" t="s">
        <v>2466</v>
      </c>
    </row>
    <row r="1326" spans="1:5" x14ac:dyDescent="0.35">
      <c r="A1326" t="s">
        <v>582</v>
      </c>
      <c r="B1326" t="s">
        <v>2467</v>
      </c>
      <c r="C1326">
        <v>6</v>
      </c>
      <c r="D1326">
        <v>2232</v>
      </c>
      <c r="E1326" t="s">
        <v>2468</v>
      </c>
    </row>
    <row r="1327" spans="1:5" x14ac:dyDescent="0.35">
      <c r="A1327" t="s">
        <v>582</v>
      </c>
      <c r="B1327" t="s">
        <v>2469</v>
      </c>
      <c r="C1327">
        <v>6</v>
      </c>
      <c r="D1327">
        <v>2233</v>
      </c>
      <c r="E1327" t="s">
        <v>2470</v>
      </c>
    </row>
    <row r="1328" spans="1:5" x14ac:dyDescent="0.35">
      <c r="A1328" t="s">
        <v>582</v>
      </c>
      <c r="B1328" t="s">
        <v>2471</v>
      </c>
      <c r="C1328">
        <v>6</v>
      </c>
      <c r="D1328">
        <v>2234</v>
      </c>
      <c r="E1328" t="s">
        <v>2472</v>
      </c>
    </row>
    <row r="1329" spans="1:5" x14ac:dyDescent="0.35">
      <c r="A1329" t="s">
        <v>579</v>
      </c>
      <c r="B1329" t="s">
        <v>466</v>
      </c>
      <c r="C1329">
        <v>5</v>
      </c>
      <c r="D1329">
        <v>1426</v>
      </c>
      <c r="E1329" t="s">
        <v>467</v>
      </c>
    </row>
    <row r="1330" spans="1:5" x14ac:dyDescent="0.35">
      <c r="A1330" t="s">
        <v>582</v>
      </c>
      <c r="B1330" t="s">
        <v>2473</v>
      </c>
      <c r="C1330">
        <v>6</v>
      </c>
      <c r="D1330">
        <v>1427</v>
      </c>
      <c r="E1330" t="s">
        <v>2474</v>
      </c>
    </row>
    <row r="1331" spans="1:5" x14ac:dyDescent="0.35">
      <c r="A1331" t="s">
        <v>582</v>
      </c>
      <c r="B1331" t="s">
        <v>2475</v>
      </c>
      <c r="C1331">
        <v>6</v>
      </c>
      <c r="D1331">
        <v>1428</v>
      </c>
      <c r="E1331" t="s">
        <v>2476</v>
      </c>
    </row>
    <row r="1332" spans="1:5" x14ac:dyDescent="0.35">
      <c r="A1332" t="s">
        <v>582</v>
      </c>
      <c r="B1332" t="s">
        <v>2477</v>
      </c>
      <c r="C1332">
        <v>6</v>
      </c>
      <c r="D1332">
        <v>2198</v>
      </c>
      <c r="E1332" t="s">
        <v>2478</v>
      </c>
    </row>
    <row r="1333" spans="1:5" x14ac:dyDescent="0.35">
      <c r="A1333" t="s">
        <v>582</v>
      </c>
      <c r="B1333" t="s">
        <v>468</v>
      </c>
      <c r="C1333">
        <v>6</v>
      </c>
      <c r="D1333">
        <v>2199</v>
      </c>
      <c r="E1333" t="s">
        <v>469</v>
      </c>
    </row>
    <row r="1334" spans="1:5" x14ac:dyDescent="0.35">
      <c r="A1334" t="s">
        <v>579</v>
      </c>
      <c r="B1334" t="s">
        <v>470</v>
      </c>
      <c r="C1334">
        <v>5</v>
      </c>
      <c r="D1334">
        <v>1429</v>
      </c>
      <c r="E1334" t="s">
        <v>471</v>
      </c>
    </row>
    <row r="1335" spans="1:5" x14ac:dyDescent="0.35">
      <c r="A1335" t="s">
        <v>582</v>
      </c>
      <c r="B1335" t="s">
        <v>2479</v>
      </c>
      <c r="C1335">
        <v>6</v>
      </c>
      <c r="D1335">
        <v>1430</v>
      </c>
      <c r="E1335" t="s">
        <v>2480</v>
      </c>
    </row>
    <row r="1336" spans="1:5" x14ac:dyDescent="0.35">
      <c r="A1336" t="s">
        <v>582</v>
      </c>
      <c r="B1336" t="s">
        <v>2481</v>
      </c>
      <c r="C1336">
        <v>6</v>
      </c>
      <c r="D1336">
        <v>1431</v>
      </c>
      <c r="E1336" t="s">
        <v>2482</v>
      </c>
    </row>
    <row r="1337" spans="1:5" x14ac:dyDescent="0.35">
      <c r="A1337" t="s">
        <v>582</v>
      </c>
      <c r="B1337" t="s">
        <v>2483</v>
      </c>
      <c r="C1337">
        <v>6</v>
      </c>
      <c r="D1337">
        <v>1432</v>
      </c>
      <c r="E1337" t="s">
        <v>2484</v>
      </c>
    </row>
    <row r="1338" spans="1:5" x14ac:dyDescent="0.35">
      <c r="A1338" t="s">
        <v>582</v>
      </c>
      <c r="B1338" t="s">
        <v>2485</v>
      </c>
      <c r="C1338">
        <v>6</v>
      </c>
      <c r="D1338">
        <v>1433</v>
      </c>
      <c r="E1338" t="s">
        <v>2486</v>
      </c>
    </row>
    <row r="1339" spans="1:5" x14ac:dyDescent="0.35">
      <c r="A1339" t="s">
        <v>582</v>
      </c>
      <c r="B1339" t="s">
        <v>2487</v>
      </c>
      <c r="C1339">
        <v>6</v>
      </c>
      <c r="D1339">
        <v>1434</v>
      </c>
      <c r="E1339" t="s">
        <v>2488</v>
      </c>
    </row>
    <row r="1340" spans="1:5" x14ac:dyDescent="0.35">
      <c r="A1340" t="s">
        <v>582</v>
      </c>
      <c r="B1340" t="s">
        <v>2489</v>
      </c>
      <c r="C1340">
        <v>6</v>
      </c>
      <c r="D1340">
        <v>1435</v>
      </c>
      <c r="E1340" t="s">
        <v>2490</v>
      </c>
    </row>
    <row r="1341" spans="1:5" x14ac:dyDescent="0.35">
      <c r="A1341" t="s">
        <v>582</v>
      </c>
      <c r="B1341" t="s">
        <v>472</v>
      </c>
      <c r="C1341">
        <v>6</v>
      </c>
      <c r="D1341">
        <v>1436</v>
      </c>
      <c r="E1341" t="s">
        <v>473</v>
      </c>
    </row>
    <row r="1342" spans="1:5" x14ac:dyDescent="0.35">
      <c r="A1342" t="s">
        <v>582</v>
      </c>
      <c r="B1342" t="s">
        <v>2491</v>
      </c>
      <c r="C1342">
        <v>6</v>
      </c>
      <c r="D1342">
        <v>1437</v>
      </c>
      <c r="E1342" t="s">
        <v>2492</v>
      </c>
    </row>
    <row r="1343" spans="1:5" x14ac:dyDescent="0.35">
      <c r="A1343" t="s">
        <v>582</v>
      </c>
      <c r="B1343" t="s">
        <v>2493</v>
      </c>
      <c r="C1343">
        <v>6</v>
      </c>
      <c r="D1343">
        <v>1438</v>
      </c>
      <c r="E1343" t="s">
        <v>2494</v>
      </c>
    </row>
    <row r="1344" spans="1:5" x14ac:dyDescent="0.35">
      <c r="A1344" t="s">
        <v>582</v>
      </c>
      <c r="B1344" t="s">
        <v>2495</v>
      </c>
      <c r="C1344">
        <v>6</v>
      </c>
      <c r="D1344">
        <v>1439</v>
      </c>
      <c r="E1344" t="s">
        <v>2496</v>
      </c>
    </row>
    <row r="1345" spans="1:5" x14ac:dyDescent="0.35">
      <c r="A1345" t="s">
        <v>582</v>
      </c>
      <c r="B1345" t="s">
        <v>2497</v>
      </c>
      <c r="C1345">
        <v>6</v>
      </c>
      <c r="D1345">
        <v>1440</v>
      </c>
      <c r="E1345" t="s">
        <v>2498</v>
      </c>
    </row>
    <row r="1346" spans="1:5" x14ac:dyDescent="0.35">
      <c r="A1346" t="s">
        <v>582</v>
      </c>
      <c r="B1346" t="s">
        <v>2499</v>
      </c>
      <c r="C1346">
        <v>6</v>
      </c>
      <c r="D1346">
        <v>1901</v>
      </c>
      <c r="E1346" t="s">
        <v>2500</v>
      </c>
    </row>
    <row r="1347" spans="1:5" x14ac:dyDescent="0.35">
      <c r="A1347" t="s">
        <v>582</v>
      </c>
      <c r="B1347" t="s">
        <v>2501</v>
      </c>
      <c r="C1347">
        <v>6</v>
      </c>
      <c r="D1347">
        <v>2193</v>
      </c>
      <c r="E1347" t="s">
        <v>2502</v>
      </c>
    </row>
    <row r="1348" spans="1:5" x14ac:dyDescent="0.35">
      <c r="A1348" t="s">
        <v>582</v>
      </c>
      <c r="B1348" t="s">
        <v>2503</v>
      </c>
      <c r="C1348">
        <v>6</v>
      </c>
      <c r="D1348">
        <v>2194</v>
      </c>
      <c r="E1348" t="s">
        <v>2504</v>
      </c>
    </row>
    <row r="1349" spans="1:5" x14ac:dyDescent="0.35">
      <c r="A1349" t="s">
        <v>582</v>
      </c>
      <c r="B1349" t="s">
        <v>2505</v>
      </c>
      <c r="C1349">
        <v>6</v>
      </c>
      <c r="D1349">
        <v>2174</v>
      </c>
      <c r="E1349" t="s">
        <v>2506</v>
      </c>
    </row>
    <row r="1350" spans="1:5" x14ac:dyDescent="0.35">
      <c r="A1350" t="s">
        <v>582</v>
      </c>
      <c r="B1350" t="s">
        <v>2507</v>
      </c>
      <c r="C1350">
        <v>6</v>
      </c>
      <c r="D1350">
        <v>2115</v>
      </c>
      <c r="E1350" t="s">
        <v>2508</v>
      </c>
    </row>
    <row r="1351" spans="1:5" x14ac:dyDescent="0.35">
      <c r="A1351" t="s">
        <v>582</v>
      </c>
      <c r="B1351" t="s">
        <v>2509</v>
      </c>
      <c r="C1351">
        <v>6</v>
      </c>
      <c r="D1351">
        <v>2204</v>
      </c>
      <c r="E1351" t="s">
        <v>2510</v>
      </c>
    </row>
    <row r="1352" spans="1:5" x14ac:dyDescent="0.35">
      <c r="A1352" t="s">
        <v>582</v>
      </c>
      <c r="B1352" t="s">
        <v>2511</v>
      </c>
      <c r="C1352">
        <v>6</v>
      </c>
      <c r="D1352">
        <v>2205</v>
      </c>
      <c r="E1352" t="s">
        <v>2512</v>
      </c>
    </row>
    <row r="1353" spans="1:5" x14ac:dyDescent="0.35">
      <c r="A1353" t="s">
        <v>582</v>
      </c>
      <c r="B1353" t="s">
        <v>2513</v>
      </c>
      <c r="C1353">
        <v>6</v>
      </c>
      <c r="D1353">
        <v>1441</v>
      </c>
      <c r="E1353" t="s">
        <v>2514</v>
      </c>
    </row>
    <row r="1354" spans="1:5" x14ac:dyDescent="0.35">
      <c r="A1354" t="s">
        <v>582</v>
      </c>
      <c r="B1354" t="s">
        <v>2515</v>
      </c>
      <c r="C1354">
        <v>6</v>
      </c>
      <c r="D1354">
        <v>1442</v>
      </c>
      <c r="E1354" t="s">
        <v>2516</v>
      </c>
    </row>
    <row r="1355" spans="1:5" x14ac:dyDescent="0.35">
      <c r="A1355" t="s">
        <v>582</v>
      </c>
      <c r="B1355" t="s">
        <v>2517</v>
      </c>
      <c r="C1355">
        <v>6</v>
      </c>
      <c r="D1355">
        <v>1443</v>
      </c>
      <c r="E1355" t="s">
        <v>2518</v>
      </c>
    </row>
    <row r="1356" spans="1:5" x14ac:dyDescent="0.35">
      <c r="A1356" t="s">
        <v>582</v>
      </c>
      <c r="B1356" t="s">
        <v>2519</v>
      </c>
      <c r="C1356">
        <v>6</v>
      </c>
      <c r="D1356">
        <v>1444</v>
      </c>
      <c r="E1356" t="s">
        <v>2520</v>
      </c>
    </row>
    <row r="1357" spans="1:5" x14ac:dyDescent="0.35">
      <c r="A1357" t="s">
        <v>582</v>
      </c>
      <c r="B1357" t="s">
        <v>2521</v>
      </c>
      <c r="C1357">
        <v>6</v>
      </c>
      <c r="D1357">
        <v>1445</v>
      </c>
      <c r="E1357" t="s">
        <v>2522</v>
      </c>
    </row>
    <row r="1358" spans="1:5" x14ac:dyDescent="0.35">
      <c r="A1358" t="s">
        <v>579</v>
      </c>
      <c r="B1358" t="s">
        <v>2523</v>
      </c>
      <c r="C1358">
        <v>5</v>
      </c>
      <c r="D1358">
        <v>1446</v>
      </c>
      <c r="E1358" t="s">
        <v>2524</v>
      </c>
    </row>
    <row r="1359" spans="1:5" x14ac:dyDescent="0.35">
      <c r="A1359" t="s">
        <v>582</v>
      </c>
      <c r="B1359" t="s">
        <v>2525</v>
      </c>
      <c r="C1359">
        <v>6</v>
      </c>
      <c r="D1359">
        <v>1447</v>
      </c>
      <c r="E1359" t="s">
        <v>2526</v>
      </c>
    </row>
    <row r="1360" spans="1:5" x14ac:dyDescent="0.35">
      <c r="A1360" t="s">
        <v>579</v>
      </c>
      <c r="B1360" t="s">
        <v>475</v>
      </c>
      <c r="C1360">
        <v>4</v>
      </c>
      <c r="D1360">
        <v>1448</v>
      </c>
      <c r="E1360" t="s">
        <v>476</v>
      </c>
    </row>
    <row r="1361" spans="1:5" x14ac:dyDescent="0.35">
      <c r="A1361" t="s">
        <v>579</v>
      </c>
      <c r="B1361" t="s">
        <v>477</v>
      </c>
      <c r="C1361">
        <v>5</v>
      </c>
      <c r="D1361">
        <v>1449</v>
      </c>
      <c r="E1361" t="s">
        <v>476</v>
      </c>
    </row>
    <row r="1362" spans="1:5" x14ac:dyDescent="0.35">
      <c r="A1362" t="s">
        <v>582</v>
      </c>
      <c r="B1362" t="s">
        <v>478</v>
      </c>
      <c r="C1362">
        <v>6</v>
      </c>
      <c r="D1362">
        <v>1450</v>
      </c>
      <c r="E1362" t="s">
        <v>2527</v>
      </c>
    </row>
    <row r="1363" spans="1:5" x14ac:dyDescent="0.35">
      <c r="A1363" t="s">
        <v>582</v>
      </c>
      <c r="B1363" t="s">
        <v>480</v>
      </c>
      <c r="C1363">
        <v>6</v>
      </c>
      <c r="D1363">
        <v>1451</v>
      </c>
      <c r="E1363" t="s">
        <v>481</v>
      </c>
    </row>
    <row r="1364" spans="1:5" x14ac:dyDescent="0.35">
      <c r="A1364" t="s">
        <v>582</v>
      </c>
      <c r="B1364" t="s">
        <v>2528</v>
      </c>
      <c r="C1364">
        <v>6</v>
      </c>
      <c r="D1364">
        <v>1452</v>
      </c>
      <c r="E1364" t="s">
        <v>2529</v>
      </c>
    </row>
    <row r="1365" spans="1:5" x14ac:dyDescent="0.35">
      <c r="A1365" t="s">
        <v>582</v>
      </c>
      <c r="B1365" t="s">
        <v>2530</v>
      </c>
      <c r="C1365">
        <v>6</v>
      </c>
      <c r="D1365">
        <v>1453</v>
      </c>
      <c r="E1365" t="s">
        <v>2531</v>
      </c>
    </row>
    <row r="1366" spans="1:5" x14ac:dyDescent="0.35">
      <c r="A1366" t="s">
        <v>579</v>
      </c>
      <c r="B1366" t="s">
        <v>2532</v>
      </c>
      <c r="C1366">
        <v>2</v>
      </c>
      <c r="D1366">
        <v>1454</v>
      </c>
      <c r="E1366" t="s">
        <v>2533</v>
      </c>
    </row>
    <row r="1367" spans="1:5" x14ac:dyDescent="0.35">
      <c r="A1367" t="s">
        <v>579</v>
      </c>
      <c r="B1367" t="s">
        <v>2534</v>
      </c>
      <c r="C1367">
        <v>3</v>
      </c>
      <c r="D1367">
        <v>1455</v>
      </c>
      <c r="E1367" t="s">
        <v>2535</v>
      </c>
    </row>
    <row r="1368" spans="1:5" x14ac:dyDescent="0.35">
      <c r="A1368" t="s">
        <v>579</v>
      </c>
      <c r="B1368" t="s">
        <v>2536</v>
      </c>
      <c r="C1368">
        <v>4</v>
      </c>
      <c r="D1368">
        <v>1456</v>
      </c>
      <c r="E1368" t="s">
        <v>2537</v>
      </c>
    </row>
    <row r="1369" spans="1:5" x14ac:dyDescent="0.35">
      <c r="A1369" t="s">
        <v>579</v>
      </c>
      <c r="B1369" t="s">
        <v>2538</v>
      </c>
      <c r="C1369">
        <v>5</v>
      </c>
      <c r="D1369">
        <v>1457</v>
      </c>
      <c r="E1369" t="s">
        <v>2539</v>
      </c>
    </row>
    <row r="1370" spans="1:5" x14ac:dyDescent="0.35">
      <c r="A1370" t="s">
        <v>582</v>
      </c>
      <c r="B1370" t="s">
        <v>2540</v>
      </c>
      <c r="C1370">
        <v>6</v>
      </c>
      <c r="D1370">
        <v>1458</v>
      </c>
      <c r="E1370" t="s">
        <v>2413</v>
      </c>
    </row>
    <row r="1371" spans="1:5" x14ac:dyDescent="0.35">
      <c r="A1371" t="s">
        <v>582</v>
      </c>
      <c r="B1371" t="s">
        <v>2541</v>
      </c>
      <c r="C1371">
        <v>6</v>
      </c>
      <c r="D1371">
        <v>1459</v>
      </c>
      <c r="E1371" t="s">
        <v>2542</v>
      </c>
    </row>
    <row r="1372" spans="1:5" x14ac:dyDescent="0.35">
      <c r="A1372" t="s">
        <v>582</v>
      </c>
      <c r="B1372" t="s">
        <v>2543</v>
      </c>
      <c r="C1372">
        <v>6</v>
      </c>
      <c r="D1372">
        <v>1460</v>
      </c>
      <c r="E1372" t="s">
        <v>2544</v>
      </c>
    </row>
    <row r="1373" spans="1:5" x14ac:dyDescent="0.35">
      <c r="A1373" t="s">
        <v>582</v>
      </c>
      <c r="B1373" t="s">
        <v>2545</v>
      </c>
      <c r="C1373">
        <v>6</v>
      </c>
      <c r="D1373">
        <v>1461</v>
      </c>
      <c r="E1373" t="s">
        <v>2546</v>
      </c>
    </row>
    <row r="1374" spans="1:5" x14ac:dyDescent="0.35">
      <c r="A1374" t="s">
        <v>582</v>
      </c>
      <c r="B1374" t="s">
        <v>2547</v>
      </c>
      <c r="C1374">
        <v>6</v>
      </c>
      <c r="D1374">
        <v>1462</v>
      </c>
      <c r="E1374" t="s">
        <v>2548</v>
      </c>
    </row>
    <row r="1375" spans="1:5" x14ac:dyDescent="0.35">
      <c r="A1375" t="s">
        <v>582</v>
      </c>
      <c r="B1375" t="s">
        <v>2549</v>
      </c>
      <c r="C1375">
        <v>6</v>
      </c>
      <c r="D1375">
        <v>1463</v>
      </c>
      <c r="E1375" t="s">
        <v>2550</v>
      </c>
    </row>
    <row r="1376" spans="1:5" x14ac:dyDescent="0.35">
      <c r="A1376" t="s">
        <v>579</v>
      </c>
      <c r="B1376" t="s">
        <v>2551</v>
      </c>
      <c r="C1376">
        <v>5</v>
      </c>
      <c r="D1376">
        <v>1464</v>
      </c>
      <c r="E1376" t="s">
        <v>2552</v>
      </c>
    </row>
    <row r="1377" spans="1:5" x14ac:dyDescent="0.35">
      <c r="A1377" t="s">
        <v>582</v>
      </c>
      <c r="B1377" t="s">
        <v>2553</v>
      </c>
      <c r="C1377">
        <v>6</v>
      </c>
      <c r="D1377">
        <v>1465</v>
      </c>
      <c r="E1377" t="s">
        <v>2413</v>
      </c>
    </row>
    <row r="1378" spans="1:5" x14ac:dyDescent="0.35">
      <c r="A1378" t="s">
        <v>582</v>
      </c>
      <c r="B1378" t="s">
        <v>2554</v>
      </c>
      <c r="C1378">
        <v>6</v>
      </c>
      <c r="D1378">
        <v>1466</v>
      </c>
      <c r="E1378" t="s">
        <v>2542</v>
      </c>
    </row>
    <row r="1379" spans="1:5" x14ac:dyDescent="0.35">
      <c r="A1379" t="s">
        <v>582</v>
      </c>
      <c r="B1379" t="s">
        <v>2555</v>
      </c>
      <c r="C1379">
        <v>6</v>
      </c>
      <c r="D1379">
        <v>1467</v>
      </c>
      <c r="E1379" t="s">
        <v>2544</v>
      </c>
    </row>
    <row r="1380" spans="1:5" x14ac:dyDescent="0.35">
      <c r="A1380" t="s">
        <v>582</v>
      </c>
      <c r="B1380" t="s">
        <v>2556</v>
      </c>
      <c r="C1380">
        <v>6</v>
      </c>
      <c r="D1380">
        <v>1468</v>
      </c>
      <c r="E1380" t="s">
        <v>2546</v>
      </c>
    </row>
    <row r="1381" spans="1:5" x14ac:dyDescent="0.35">
      <c r="A1381" t="s">
        <v>579</v>
      </c>
      <c r="B1381" t="s">
        <v>2557</v>
      </c>
      <c r="C1381">
        <v>5</v>
      </c>
      <c r="D1381">
        <v>1469</v>
      </c>
      <c r="E1381" t="s">
        <v>2558</v>
      </c>
    </row>
    <row r="1382" spans="1:5" x14ac:dyDescent="0.35">
      <c r="A1382" t="s">
        <v>582</v>
      </c>
      <c r="B1382" t="s">
        <v>2559</v>
      </c>
      <c r="C1382">
        <v>6</v>
      </c>
      <c r="D1382">
        <v>1470</v>
      </c>
      <c r="E1382" t="s">
        <v>2413</v>
      </c>
    </row>
    <row r="1383" spans="1:5" x14ac:dyDescent="0.35">
      <c r="A1383" t="s">
        <v>582</v>
      </c>
      <c r="B1383" t="s">
        <v>2560</v>
      </c>
      <c r="C1383">
        <v>6</v>
      </c>
      <c r="D1383">
        <v>1471</v>
      </c>
      <c r="E1383" t="s">
        <v>2542</v>
      </c>
    </row>
    <row r="1384" spans="1:5" x14ac:dyDescent="0.35">
      <c r="A1384" t="s">
        <v>582</v>
      </c>
      <c r="B1384" t="s">
        <v>2561</v>
      </c>
      <c r="C1384">
        <v>6</v>
      </c>
      <c r="D1384">
        <v>1472</v>
      </c>
      <c r="E1384" t="s">
        <v>2544</v>
      </c>
    </row>
    <row r="1385" spans="1:5" x14ac:dyDescent="0.35">
      <c r="A1385" t="s">
        <v>582</v>
      </c>
      <c r="B1385" t="s">
        <v>2562</v>
      </c>
      <c r="C1385">
        <v>6</v>
      </c>
      <c r="D1385">
        <v>1473</v>
      </c>
      <c r="E1385" t="s">
        <v>2546</v>
      </c>
    </row>
    <row r="1386" spans="1:5" x14ac:dyDescent="0.35">
      <c r="A1386" t="s">
        <v>579</v>
      </c>
      <c r="B1386" t="s">
        <v>2563</v>
      </c>
      <c r="C1386">
        <v>4</v>
      </c>
      <c r="D1386">
        <v>1474</v>
      </c>
      <c r="E1386" t="s">
        <v>2564</v>
      </c>
    </row>
    <row r="1387" spans="1:5" x14ac:dyDescent="0.35">
      <c r="A1387" t="s">
        <v>579</v>
      </c>
      <c r="B1387" t="s">
        <v>2565</v>
      </c>
      <c r="C1387">
        <v>5</v>
      </c>
      <c r="D1387">
        <v>1475</v>
      </c>
      <c r="E1387" t="s">
        <v>2566</v>
      </c>
    </row>
    <row r="1388" spans="1:5" x14ac:dyDescent="0.35">
      <c r="A1388" t="s">
        <v>582</v>
      </c>
      <c r="B1388" t="s">
        <v>2567</v>
      </c>
      <c r="C1388">
        <v>6</v>
      </c>
      <c r="D1388">
        <v>1476</v>
      </c>
      <c r="E1388" t="s">
        <v>2568</v>
      </c>
    </row>
    <row r="1389" spans="1:5" x14ac:dyDescent="0.35">
      <c r="A1389" t="s">
        <v>582</v>
      </c>
      <c r="B1389" t="s">
        <v>2569</v>
      </c>
      <c r="C1389">
        <v>6</v>
      </c>
      <c r="D1389">
        <v>1477</v>
      </c>
      <c r="E1389" t="s">
        <v>2570</v>
      </c>
    </row>
    <row r="1390" spans="1:5" x14ac:dyDescent="0.35">
      <c r="A1390" t="s">
        <v>582</v>
      </c>
      <c r="B1390" t="s">
        <v>2571</v>
      </c>
      <c r="C1390">
        <v>6</v>
      </c>
      <c r="D1390">
        <v>1478</v>
      </c>
      <c r="E1390" t="s">
        <v>2572</v>
      </c>
    </row>
    <row r="1391" spans="1:5" x14ac:dyDescent="0.35">
      <c r="A1391" t="s">
        <v>579</v>
      </c>
      <c r="B1391" t="s">
        <v>2573</v>
      </c>
      <c r="C1391">
        <v>5</v>
      </c>
      <c r="D1391">
        <v>1895</v>
      </c>
      <c r="E1391" t="s">
        <v>2574</v>
      </c>
    </row>
    <row r="1392" spans="1:5" x14ac:dyDescent="0.35">
      <c r="A1392" t="s">
        <v>582</v>
      </c>
      <c r="B1392" t="s">
        <v>2575</v>
      </c>
      <c r="C1392">
        <v>6</v>
      </c>
      <c r="D1392">
        <v>1896</v>
      </c>
      <c r="E1392" t="s">
        <v>2576</v>
      </c>
    </row>
    <row r="1393" spans="1:5" x14ac:dyDescent="0.35">
      <c r="A1393" t="s">
        <v>582</v>
      </c>
      <c r="B1393" t="s">
        <v>2577</v>
      </c>
      <c r="C1393">
        <v>6</v>
      </c>
      <c r="D1393">
        <v>1897</v>
      </c>
      <c r="E1393" t="s">
        <v>2578</v>
      </c>
    </row>
    <row r="1394" spans="1:5" x14ac:dyDescent="0.35">
      <c r="A1394" t="s">
        <v>582</v>
      </c>
      <c r="B1394" t="s">
        <v>2579</v>
      </c>
      <c r="C1394">
        <v>6</v>
      </c>
      <c r="D1394">
        <v>1898</v>
      </c>
      <c r="E1394" t="s">
        <v>2580</v>
      </c>
    </row>
    <row r="1395" spans="1:5" x14ac:dyDescent="0.35">
      <c r="A1395" t="s">
        <v>579</v>
      </c>
      <c r="B1395" t="s">
        <v>2581</v>
      </c>
      <c r="C1395">
        <v>4</v>
      </c>
      <c r="D1395">
        <v>1479</v>
      </c>
      <c r="E1395" t="s">
        <v>476</v>
      </c>
    </row>
    <row r="1396" spans="1:5" x14ac:dyDescent="0.35">
      <c r="A1396" t="s">
        <v>579</v>
      </c>
      <c r="B1396" t="s">
        <v>2582</v>
      </c>
      <c r="C1396">
        <v>5</v>
      </c>
      <c r="D1396">
        <v>1480</v>
      </c>
      <c r="E1396" t="s">
        <v>476</v>
      </c>
    </row>
    <row r="1397" spans="1:5" x14ac:dyDescent="0.35">
      <c r="A1397" t="s">
        <v>582</v>
      </c>
      <c r="B1397" t="s">
        <v>2583</v>
      </c>
      <c r="C1397">
        <v>6</v>
      </c>
      <c r="D1397">
        <v>1481</v>
      </c>
      <c r="E1397" t="s">
        <v>2527</v>
      </c>
    </row>
    <row r="1398" spans="1:5" x14ac:dyDescent="0.35">
      <c r="A1398" t="s">
        <v>582</v>
      </c>
      <c r="B1398" t="s">
        <v>2584</v>
      </c>
      <c r="C1398">
        <v>6</v>
      </c>
      <c r="D1398">
        <v>1482</v>
      </c>
      <c r="E1398" t="s">
        <v>481</v>
      </c>
    </row>
    <row r="1399" spans="1:5" x14ac:dyDescent="0.35">
      <c r="A1399" t="s">
        <v>582</v>
      </c>
      <c r="B1399" t="s">
        <v>2585</v>
      </c>
      <c r="C1399">
        <v>6</v>
      </c>
      <c r="D1399">
        <v>1483</v>
      </c>
      <c r="E1399" t="s">
        <v>2529</v>
      </c>
    </row>
    <row r="1400" spans="1:5" x14ac:dyDescent="0.35">
      <c r="A1400" t="s">
        <v>582</v>
      </c>
      <c r="B1400" t="s">
        <v>2586</v>
      </c>
      <c r="C1400">
        <v>6</v>
      </c>
      <c r="D1400">
        <v>1484</v>
      </c>
      <c r="E1400" t="s">
        <v>2531</v>
      </c>
    </row>
    <row r="1401" spans="1:5" x14ac:dyDescent="0.35">
      <c r="A1401" t="s">
        <v>579</v>
      </c>
      <c r="B1401" t="s">
        <v>2587</v>
      </c>
      <c r="C1401">
        <v>4</v>
      </c>
      <c r="D1401">
        <v>1485</v>
      </c>
      <c r="E1401" t="s">
        <v>455</v>
      </c>
    </row>
    <row r="1402" spans="1:5" x14ac:dyDescent="0.35">
      <c r="A1402" t="s">
        <v>579</v>
      </c>
      <c r="B1402" t="s">
        <v>2588</v>
      </c>
      <c r="C1402">
        <v>5</v>
      </c>
      <c r="D1402">
        <v>1486</v>
      </c>
      <c r="E1402" t="s">
        <v>562</v>
      </c>
    </row>
    <row r="1403" spans="1:5" x14ac:dyDescent="0.35">
      <c r="A1403" t="s">
        <v>582</v>
      </c>
      <c r="B1403" t="s">
        <v>2589</v>
      </c>
      <c r="C1403">
        <v>6</v>
      </c>
      <c r="D1403">
        <v>1487</v>
      </c>
      <c r="E1403" t="s">
        <v>2462</v>
      </c>
    </row>
    <row r="1404" spans="1:5" x14ac:dyDescent="0.35">
      <c r="A1404" t="s">
        <v>582</v>
      </c>
      <c r="B1404" t="s">
        <v>2590</v>
      </c>
      <c r="C1404">
        <v>6</v>
      </c>
      <c r="D1404">
        <v>1488</v>
      </c>
      <c r="E1404" t="s">
        <v>564</v>
      </c>
    </row>
    <row r="1405" spans="1:5" x14ac:dyDescent="0.35">
      <c r="A1405" t="s">
        <v>582</v>
      </c>
      <c r="B1405" t="s">
        <v>2591</v>
      </c>
      <c r="C1405">
        <v>6</v>
      </c>
      <c r="D1405">
        <v>1489</v>
      </c>
      <c r="E1405" t="s">
        <v>2464</v>
      </c>
    </row>
    <row r="1406" spans="1:5" x14ac:dyDescent="0.35">
      <c r="A1406" t="s">
        <v>579</v>
      </c>
      <c r="B1406" t="s">
        <v>2592</v>
      </c>
      <c r="C1406">
        <v>5</v>
      </c>
      <c r="D1406">
        <v>1490</v>
      </c>
      <c r="E1406" t="s">
        <v>467</v>
      </c>
    </row>
    <row r="1407" spans="1:5" x14ac:dyDescent="0.35">
      <c r="A1407" t="s">
        <v>582</v>
      </c>
      <c r="B1407" t="s">
        <v>2593</v>
      </c>
      <c r="C1407">
        <v>6</v>
      </c>
      <c r="D1407">
        <v>1491</v>
      </c>
      <c r="E1407" t="s">
        <v>2474</v>
      </c>
    </row>
    <row r="1408" spans="1:5" x14ac:dyDescent="0.35">
      <c r="A1408" t="s">
        <v>582</v>
      </c>
      <c r="B1408" t="s">
        <v>2594</v>
      </c>
      <c r="C1408">
        <v>6</v>
      </c>
      <c r="D1408">
        <v>1492</v>
      </c>
      <c r="E1408" t="s">
        <v>2476</v>
      </c>
    </row>
    <row r="1409" spans="1:5" x14ac:dyDescent="0.35">
      <c r="A1409" t="s">
        <v>582</v>
      </c>
      <c r="B1409" t="s">
        <v>2595</v>
      </c>
      <c r="C1409">
        <v>6</v>
      </c>
      <c r="D1409">
        <v>2200</v>
      </c>
      <c r="E1409" t="s">
        <v>2478</v>
      </c>
    </row>
    <row r="1410" spans="1:5" x14ac:dyDescent="0.35">
      <c r="A1410" t="s">
        <v>582</v>
      </c>
      <c r="B1410" t="s">
        <v>2596</v>
      </c>
      <c r="C1410">
        <v>6</v>
      </c>
      <c r="D1410">
        <v>2201</v>
      </c>
      <c r="E1410" t="s">
        <v>469</v>
      </c>
    </row>
    <row r="1411" spans="1:5" x14ac:dyDescent="0.35">
      <c r="A1411" t="s">
        <v>579</v>
      </c>
      <c r="B1411" t="s">
        <v>2597</v>
      </c>
      <c r="C1411">
        <v>5</v>
      </c>
      <c r="D1411">
        <v>1493</v>
      </c>
      <c r="E1411" t="s">
        <v>471</v>
      </c>
    </row>
    <row r="1412" spans="1:5" x14ac:dyDescent="0.35">
      <c r="A1412" t="s">
        <v>582</v>
      </c>
      <c r="B1412" t="s">
        <v>2598</v>
      </c>
      <c r="C1412">
        <v>6</v>
      </c>
      <c r="D1412">
        <v>1494</v>
      </c>
      <c r="E1412" t="s">
        <v>2480</v>
      </c>
    </row>
    <row r="1413" spans="1:5" x14ac:dyDescent="0.35">
      <c r="A1413" t="s">
        <v>582</v>
      </c>
      <c r="B1413" t="s">
        <v>2599</v>
      </c>
      <c r="C1413">
        <v>6</v>
      </c>
      <c r="D1413">
        <v>1495</v>
      </c>
      <c r="E1413" t="s">
        <v>2482</v>
      </c>
    </row>
    <row r="1414" spans="1:5" x14ac:dyDescent="0.35">
      <c r="A1414" t="s">
        <v>582</v>
      </c>
      <c r="B1414" t="s">
        <v>2600</v>
      </c>
      <c r="C1414">
        <v>6</v>
      </c>
      <c r="D1414">
        <v>1496</v>
      </c>
      <c r="E1414" t="s">
        <v>2484</v>
      </c>
    </row>
    <row r="1415" spans="1:5" x14ac:dyDescent="0.35">
      <c r="A1415" t="s">
        <v>582</v>
      </c>
      <c r="B1415" t="s">
        <v>2601</v>
      </c>
      <c r="C1415">
        <v>6</v>
      </c>
      <c r="D1415">
        <v>1497</v>
      </c>
      <c r="E1415" t="s">
        <v>2486</v>
      </c>
    </row>
    <row r="1416" spans="1:5" x14ac:dyDescent="0.35">
      <c r="A1416" t="s">
        <v>582</v>
      </c>
      <c r="B1416" t="s">
        <v>2602</v>
      </c>
      <c r="C1416">
        <v>6</v>
      </c>
      <c r="D1416">
        <v>1498</v>
      </c>
      <c r="E1416" t="s">
        <v>2488</v>
      </c>
    </row>
    <row r="1417" spans="1:5" x14ac:dyDescent="0.35">
      <c r="A1417" t="s">
        <v>582</v>
      </c>
      <c r="B1417" t="s">
        <v>2603</v>
      </c>
      <c r="C1417">
        <v>6</v>
      </c>
      <c r="D1417">
        <v>1499</v>
      </c>
      <c r="E1417" t="s">
        <v>2490</v>
      </c>
    </row>
    <row r="1418" spans="1:5" x14ac:dyDescent="0.35">
      <c r="A1418" t="s">
        <v>582</v>
      </c>
      <c r="B1418" t="s">
        <v>2604</v>
      </c>
      <c r="C1418">
        <v>6</v>
      </c>
      <c r="D1418">
        <v>1500</v>
      </c>
      <c r="E1418" t="s">
        <v>473</v>
      </c>
    </row>
    <row r="1419" spans="1:5" x14ac:dyDescent="0.35">
      <c r="A1419" t="s">
        <v>582</v>
      </c>
      <c r="B1419" t="s">
        <v>2605</v>
      </c>
      <c r="C1419">
        <v>6</v>
      </c>
      <c r="D1419">
        <v>1501</v>
      </c>
      <c r="E1419" t="s">
        <v>2492</v>
      </c>
    </row>
    <row r="1420" spans="1:5" x14ac:dyDescent="0.35">
      <c r="A1420" t="s">
        <v>582</v>
      </c>
      <c r="B1420" t="s">
        <v>2606</v>
      </c>
      <c r="C1420">
        <v>6</v>
      </c>
      <c r="D1420">
        <v>1502</v>
      </c>
      <c r="E1420" t="s">
        <v>2494</v>
      </c>
    </row>
    <row r="1421" spans="1:5" x14ac:dyDescent="0.35">
      <c r="A1421" t="s">
        <v>582</v>
      </c>
      <c r="B1421" t="s">
        <v>2607</v>
      </c>
      <c r="C1421">
        <v>6</v>
      </c>
      <c r="D1421">
        <v>1503</v>
      </c>
      <c r="E1421" t="s">
        <v>2496</v>
      </c>
    </row>
    <row r="1422" spans="1:5" x14ac:dyDescent="0.35">
      <c r="A1422" t="s">
        <v>582</v>
      </c>
      <c r="B1422" t="s">
        <v>2608</v>
      </c>
      <c r="C1422">
        <v>6</v>
      </c>
      <c r="D1422">
        <v>1504</v>
      </c>
      <c r="E1422" t="s">
        <v>2609</v>
      </c>
    </row>
    <row r="1423" spans="1:5" x14ac:dyDescent="0.35">
      <c r="A1423" t="s">
        <v>582</v>
      </c>
      <c r="B1423" t="s">
        <v>2610</v>
      </c>
      <c r="C1423">
        <v>6</v>
      </c>
      <c r="D1423">
        <v>1921</v>
      </c>
      <c r="E1423" t="s">
        <v>2611</v>
      </c>
    </row>
    <row r="1424" spans="1:5" x14ac:dyDescent="0.35">
      <c r="A1424" t="s">
        <v>582</v>
      </c>
      <c r="B1424" t="s">
        <v>2612</v>
      </c>
      <c r="C1424">
        <v>6</v>
      </c>
      <c r="D1424">
        <v>1959</v>
      </c>
      <c r="E1424" t="s">
        <v>2613</v>
      </c>
    </row>
    <row r="1425" spans="1:5" x14ac:dyDescent="0.35">
      <c r="A1425" t="s">
        <v>582</v>
      </c>
      <c r="B1425" t="s">
        <v>2614</v>
      </c>
      <c r="C1425">
        <v>6</v>
      </c>
      <c r="D1425">
        <v>1960</v>
      </c>
      <c r="E1425" t="s">
        <v>2615</v>
      </c>
    </row>
    <row r="1426" spans="1:5" x14ac:dyDescent="0.35">
      <c r="A1426" t="s">
        <v>582</v>
      </c>
      <c r="B1426" t="s">
        <v>2616</v>
      </c>
      <c r="C1426">
        <v>6</v>
      </c>
      <c r="D1426">
        <v>2085</v>
      </c>
      <c r="E1426" t="s">
        <v>2617</v>
      </c>
    </row>
    <row r="1427" spans="1:5" x14ac:dyDescent="0.35">
      <c r="A1427" t="s">
        <v>582</v>
      </c>
      <c r="B1427" t="s">
        <v>2618</v>
      </c>
      <c r="C1427">
        <v>6</v>
      </c>
      <c r="D1427">
        <v>2116</v>
      </c>
      <c r="E1427" t="s">
        <v>2619</v>
      </c>
    </row>
    <row r="1428" spans="1:5" x14ac:dyDescent="0.35">
      <c r="A1428" t="s">
        <v>582</v>
      </c>
      <c r="B1428" t="s">
        <v>2620</v>
      </c>
      <c r="C1428">
        <v>6</v>
      </c>
      <c r="D1428">
        <v>1505</v>
      </c>
      <c r="E1428" t="s">
        <v>2621</v>
      </c>
    </row>
    <row r="1429" spans="1:5" x14ac:dyDescent="0.35">
      <c r="A1429" t="s">
        <v>579</v>
      </c>
      <c r="B1429" t="s">
        <v>2622</v>
      </c>
      <c r="C1429">
        <v>5</v>
      </c>
      <c r="D1429">
        <v>1506</v>
      </c>
      <c r="E1429" t="s">
        <v>2524</v>
      </c>
    </row>
    <row r="1430" spans="1:5" x14ac:dyDescent="0.35">
      <c r="A1430" t="s">
        <v>582</v>
      </c>
      <c r="B1430" t="s">
        <v>2623</v>
      </c>
      <c r="C1430">
        <v>6</v>
      </c>
      <c r="D1430">
        <v>1507</v>
      </c>
      <c r="E1430" t="s">
        <v>2526</v>
      </c>
    </row>
    <row r="1431" spans="1:5" x14ac:dyDescent="0.35">
      <c r="A1431" t="s">
        <v>579</v>
      </c>
      <c r="B1431" t="s">
        <v>2624</v>
      </c>
      <c r="C1431">
        <v>2</v>
      </c>
      <c r="D1431">
        <v>1508</v>
      </c>
      <c r="E1431" t="s">
        <v>2625</v>
      </c>
    </row>
    <row r="1432" spans="1:5" x14ac:dyDescent="0.35">
      <c r="A1432" t="s">
        <v>579</v>
      </c>
      <c r="B1432" t="s">
        <v>2626</v>
      </c>
      <c r="C1432">
        <v>3</v>
      </c>
      <c r="D1432">
        <v>1509</v>
      </c>
      <c r="E1432" t="s">
        <v>2625</v>
      </c>
    </row>
    <row r="1433" spans="1:5" x14ac:dyDescent="0.35">
      <c r="A1433" t="s">
        <v>579</v>
      </c>
      <c r="B1433" t="s">
        <v>2627</v>
      </c>
      <c r="C1433">
        <v>4</v>
      </c>
      <c r="D1433">
        <v>1510</v>
      </c>
      <c r="E1433" t="s">
        <v>2628</v>
      </c>
    </row>
    <row r="1434" spans="1:5" x14ac:dyDescent="0.35">
      <c r="A1434" t="s">
        <v>579</v>
      </c>
      <c r="B1434" t="s">
        <v>2629</v>
      </c>
      <c r="C1434">
        <v>5</v>
      </c>
      <c r="D1434">
        <v>1511</v>
      </c>
      <c r="E1434" t="s">
        <v>476</v>
      </c>
    </row>
    <row r="1435" spans="1:5" x14ac:dyDescent="0.35">
      <c r="A1435" t="s">
        <v>582</v>
      </c>
      <c r="B1435" t="s">
        <v>2630</v>
      </c>
      <c r="C1435">
        <v>6</v>
      </c>
      <c r="D1435">
        <v>1512</v>
      </c>
      <c r="E1435" t="s">
        <v>2527</v>
      </c>
    </row>
    <row r="1436" spans="1:5" x14ac:dyDescent="0.35">
      <c r="A1436" t="s">
        <v>582</v>
      </c>
      <c r="B1436" t="s">
        <v>2631</v>
      </c>
      <c r="C1436">
        <v>6</v>
      </c>
      <c r="D1436">
        <v>1513</v>
      </c>
      <c r="E1436" t="s">
        <v>481</v>
      </c>
    </row>
    <row r="1437" spans="1:5" x14ac:dyDescent="0.35">
      <c r="A1437" t="s">
        <v>582</v>
      </c>
      <c r="B1437" t="s">
        <v>2632</v>
      </c>
      <c r="C1437">
        <v>6</v>
      </c>
      <c r="D1437">
        <v>1514</v>
      </c>
      <c r="E1437" t="s">
        <v>2529</v>
      </c>
    </row>
    <row r="1438" spans="1:5" x14ac:dyDescent="0.35">
      <c r="A1438" t="s">
        <v>582</v>
      </c>
      <c r="B1438" t="s">
        <v>2633</v>
      </c>
      <c r="C1438">
        <v>6</v>
      </c>
      <c r="D1438">
        <v>1515</v>
      </c>
      <c r="E1438" t="s">
        <v>2634</v>
      </c>
    </row>
    <row r="1439" spans="1:5" x14ac:dyDescent="0.35">
      <c r="A1439" t="s">
        <v>582</v>
      </c>
      <c r="B1439" t="s">
        <v>2635</v>
      </c>
      <c r="C1439">
        <v>6</v>
      </c>
      <c r="D1439">
        <v>1516</v>
      </c>
      <c r="E1439" t="s">
        <v>2548</v>
      </c>
    </row>
    <row r="1440" spans="1:5" x14ac:dyDescent="0.35">
      <c r="A1440" t="s">
        <v>579</v>
      </c>
      <c r="B1440" t="s">
        <v>2636</v>
      </c>
      <c r="C1440">
        <v>5</v>
      </c>
      <c r="D1440">
        <v>1922</v>
      </c>
      <c r="E1440" t="s">
        <v>2637</v>
      </c>
    </row>
    <row r="1441" spans="1:5" x14ac:dyDescent="0.35">
      <c r="A1441" t="s">
        <v>582</v>
      </c>
      <c r="B1441" t="s">
        <v>2638</v>
      </c>
      <c r="C1441">
        <v>6</v>
      </c>
      <c r="D1441">
        <v>1923</v>
      </c>
      <c r="E1441" t="s">
        <v>2639</v>
      </c>
    </row>
    <row r="1442" spans="1:5" x14ac:dyDescent="0.35">
      <c r="A1442" t="s">
        <v>582</v>
      </c>
      <c r="B1442" t="s">
        <v>2640</v>
      </c>
      <c r="C1442">
        <v>6</v>
      </c>
      <c r="D1442">
        <v>1924</v>
      </c>
      <c r="E1442" t="s">
        <v>2641</v>
      </c>
    </row>
    <row r="1443" spans="1:5" x14ac:dyDescent="0.35">
      <c r="A1443" t="s">
        <v>582</v>
      </c>
      <c r="B1443" t="s">
        <v>2642</v>
      </c>
      <c r="C1443">
        <v>6</v>
      </c>
      <c r="D1443">
        <v>1925</v>
      </c>
      <c r="E1443" t="s">
        <v>2643</v>
      </c>
    </row>
    <row r="1444" spans="1:5" x14ac:dyDescent="0.35">
      <c r="A1444" t="s">
        <v>582</v>
      </c>
      <c r="B1444" t="s">
        <v>2644</v>
      </c>
      <c r="C1444">
        <v>6</v>
      </c>
      <c r="D1444">
        <v>1926</v>
      </c>
      <c r="E1444" t="s">
        <v>2645</v>
      </c>
    </row>
    <row r="1445" spans="1:5" x14ac:dyDescent="0.35">
      <c r="A1445" t="s">
        <v>582</v>
      </c>
      <c r="B1445" t="s">
        <v>2646</v>
      </c>
      <c r="C1445">
        <v>6</v>
      </c>
      <c r="D1445">
        <v>1927</v>
      </c>
      <c r="E1445" t="s">
        <v>2647</v>
      </c>
    </row>
    <row r="1446" spans="1:5" x14ac:dyDescent="0.35">
      <c r="A1446" t="s">
        <v>582</v>
      </c>
      <c r="B1446" t="s">
        <v>2648</v>
      </c>
      <c r="C1446">
        <v>6</v>
      </c>
      <c r="D1446">
        <v>1928</v>
      </c>
      <c r="E1446" t="s">
        <v>2649</v>
      </c>
    </row>
    <row r="1447" spans="1:5" x14ac:dyDescent="0.35">
      <c r="A1447" t="s">
        <v>582</v>
      </c>
      <c r="B1447" t="s">
        <v>2650</v>
      </c>
      <c r="C1447">
        <v>6</v>
      </c>
      <c r="D1447">
        <v>1929</v>
      </c>
      <c r="E1447" t="s">
        <v>2651</v>
      </c>
    </row>
    <row r="1448" spans="1:5" x14ac:dyDescent="0.35">
      <c r="A1448" t="s">
        <v>582</v>
      </c>
      <c r="B1448" t="s">
        <v>2652</v>
      </c>
      <c r="C1448">
        <v>6</v>
      </c>
      <c r="D1448">
        <v>1930</v>
      </c>
      <c r="E1448" t="s">
        <v>2653</v>
      </c>
    </row>
    <row r="1449" spans="1:5" x14ac:dyDescent="0.35">
      <c r="A1449" t="s">
        <v>582</v>
      </c>
      <c r="B1449" t="s">
        <v>2654</v>
      </c>
      <c r="C1449">
        <v>6</v>
      </c>
      <c r="D1449">
        <v>1931</v>
      </c>
      <c r="E1449" t="s">
        <v>2655</v>
      </c>
    </row>
    <row r="1450" spans="1:5" x14ac:dyDescent="0.35">
      <c r="A1450" t="s">
        <v>582</v>
      </c>
      <c r="B1450" t="s">
        <v>2656</v>
      </c>
      <c r="C1450">
        <v>6</v>
      </c>
      <c r="D1450">
        <v>1932</v>
      </c>
      <c r="E1450" t="s">
        <v>2657</v>
      </c>
    </row>
    <row r="1451" spans="1:5" x14ac:dyDescent="0.35">
      <c r="A1451" t="s">
        <v>582</v>
      </c>
      <c r="B1451" t="s">
        <v>2658</v>
      </c>
      <c r="C1451">
        <v>6</v>
      </c>
      <c r="D1451">
        <v>1933</v>
      </c>
      <c r="E1451" t="s">
        <v>2659</v>
      </c>
    </row>
    <row r="1452" spans="1:5" x14ac:dyDescent="0.35">
      <c r="A1452" t="s">
        <v>582</v>
      </c>
      <c r="B1452" t="s">
        <v>2660</v>
      </c>
      <c r="C1452">
        <v>6</v>
      </c>
      <c r="D1452">
        <v>1934</v>
      </c>
      <c r="E1452" t="s">
        <v>2661</v>
      </c>
    </row>
    <row r="1453" spans="1:5" x14ac:dyDescent="0.35">
      <c r="A1453" t="s">
        <v>579</v>
      </c>
      <c r="B1453" t="s">
        <v>2662</v>
      </c>
      <c r="C1453">
        <v>5</v>
      </c>
      <c r="D1453">
        <v>1935</v>
      </c>
      <c r="E1453" t="s">
        <v>2663</v>
      </c>
    </row>
    <row r="1454" spans="1:5" x14ac:dyDescent="0.35">
      <c r="A1454" t="s">
        <v>582</v>
      </c>
      <c r="B1454" t="s">
        <v>2664</v>
      </c>
      <c r="C1454">
        <v>6</v>
      </c>
      <c r="D1454">
        <v>1936</v>
      </c>
      <c r="E1454" t="s">
        <v>2665</v>
      </c>
    </row>
    <row r="1455" spans="1:5" x14ac:dyDescent="0.35">
      <c r="A1455" t="s">
        <v>579</v>
      </c>
      <c r="B1455" t="s">
        <v>2666</v>
      </c>
      <c r="C1455">
        <v>4</v>
      </c>
      <c r="D1455">
        <v>1517</v>
      </c>
      <c r="E1455" t="s">
        <v>455</v>
      </c>
    </row>
    <row r="1456" spans="1:5" x14ac:dyDescent="0.35">
      <c r="A1456" t="s">
        <v>579</v>
      </c>
      <c r="B1456" t="s">
        <v>2667</v>
      </c>
      <c r="C1456">
        <v>5</v>
      </c>
      <c r="D1456">
        <v>1518</v>
      </c>
      <c r="E1456" t="s">
        <v>562</v>
      </c>
    </row>
    <row r="1457" spans="1:5" x14ac:dyDescent="0.35">
      <c r="A1457" t="s">
        <v>582</v>
      </c>
      <c r="B1457" t="s">
        <v>2668</v>
      </c>
      <c r="C1457">
        <v>6</v>
      </c>
      <c r="D1457">
        <v>1519</v>
      </c>
      <c r="E1457" t="s">
        <v>2462</v>
      </c>
    </row>
    <row r="1458" spans="1:5" x14ac:dyDescent="0.35">
      <c r="A1458" t="s">
        <v>582</v>
      </c>
      <c r="B1458" t="s">
        <v>2669</v>
      </c>
      <c r="C1458">
        <v>6</v>
      </c>
      <c r="D1458">
        <v>1520</v>
      </c>
      <c r="E1458" t="s">
        <v>564</v>
      </c>
    </row>
    <row r="1459" spans="1:5" x14ac:dyDescent="0.35">
      <c r="A1459" t="s">
        <v>582</v>
      </c>
      <c r="B1459" t="s">
        <v>2670</v>
      </c>
      <c r="C1459">
        <v>6</v>
      </c>
      <c r="D1459">
        <v>1521</v>
      </c>
      <c r="E1459" t="s">
        <v>2464</v>
      </c>
    </row>
    <row r="1460" spans="1:5" x14ac:dyDescent="0.35">
      <c r="A1460" t="s">
        <v>579</v>
      </c>
      <c r="B1460" t="s">
        <v>2671</v>
      </c>
      <c r="C1460">
        <v>5</v>
      </c>
      <c r="D1460">
        <v>1522</v>
      </c>
      <c r="E1460" t="s">
        <v>467</v>
      </c>
    </row>
    <row r="1461" spans="1:5" x14ac:dyDescent="0.35">
      <c r="A1461" t="s">
        <v>582</v>
      </c>
      <c r="B1461" t="s">
        <v>2672</v>
      </c>
      <c r="C1461">
        <v>6</v>
      </c>
      <c r="D1461">
        <v>1523</v>
      </c>
      <c r="E1461" t="s">
        <v>2474</v>
      </c>
    </row>
    <row r="1462" spans="1:5" x14ac:dyDescent="0.35">
      <c r="A1462" t="s">
        <v>582</v>
      </c>
      <c r="B1462" t="s">
        <v>2673</v>
      </c>
      <c r="C1462">
        <v>6</v>
      </c>
      <c r="D1462">
        <v>1524</v>
      </c>
      <c r="E1462" t="s">
        <v>2476</v>
      </c>
    </row>
    <row r="1463" spans="1:5" x14ac:dyDescent="0.35">
      <c r="A1463" t="s">
        <v>582</v>
      </c>
      <c r="B1463" t="s">
        <v>2674</v>
      </c>
      <c r="C1463">
        <v>6</v>
      </c>
      <c r="D1463">
        <v>2202</v>
      </c>
      <c r="E1463" t="s">
        <v>2478</v>
      </c>
    </row>
    <row r="1464" spans="1:5" x14ac:dyDescent="0.35">
      <c r="A1464" t="s">
        <v>582</v>
      </c>
      <c r="B1464" t="s">
        <v>2675</v>
      </c>
      <c r="C1464">
        <v>6</v>
      </c>
      <c r="D1464">
        <v>2203</v>
      </c>
      <c r="E1464" t="s">
        <v>469</v>
      </c>
    </row>
    <row r="1465" spans="1:5" x14ac:dyDescent="0.35">
      <c r="A1465" t="s">
        <v>579</v>
      </c>
      <c r="B1465" t="s">
        <v>2676</v>
      </c>
      <c r="C1465">
        <v>5</v>
      </c>
      <c r="D1465">
        <v>1525</v>
      </c>
      <c r="E1465" t="s">
        <v>471</v>
      </c>
    </row>
    <row r="1466" spans="1:5" x14ac:dyDescent="0.35">
      <c r="A1466" t="s">
        <v>582</v>
      </c>
      <c r="B1466" t="s">
        <v>2677</v>
      </c>
      <c r="C1466">
        <v>6</v>
      </c>
      <c r="D1466">
        <v>1526</v>
      </c>
      <c r="E1466" t="s">
        <v>2480</v>
      </c>
    </row>
    <row r="1467" spans="1:5" x14ac:dyDescent="0.35">
      <c r="A1467" t="s">
        <v>582</v>
      </c>
      <c r="B1467" t="s">
        <v>2678</v>
      </c>
      <c r="C1467">
        <v>6</v>
      </c>
      <c r="D1467">
        <v>1527</v>
      </c>
      <c r="E1467" t="s">
        <v>2482</v>
      </c>
    </row>
    <row r="1468" spans="1:5" x14ac:dyDescent="0.35">
      <c r="A1468" t="s">
        <v>582</v>
      </c>
      <c r="B1468" t="s">
        <v>2679</v>
      </c>
      <c r="C1468">
        <v>6</v>
      </c>
      <c r="D1468">
        <v>1528</v>
      </c>
      <c r="E1468" t="s">
        <v>2484</v>
      </c>
    </row>
    <row r="1469" spans="1:5" x14ac:dyDescent="0.35">
      <c r="A1469" t="s">
        <v>582</v>
      </c>
      <c r="B1469" t="s">
        <v>2680</v>
      </c>
      <c r="C1469">
        <v>6</v>
      </c>
      <c r="D1469">
        <v>1529</v>
      </c>
      <c r="E1469" t="s">
        <v>2486</v>
      </c>
    </row>
    <row r="1470" spans="1:5" x14ac:dyDescent="0.35">
      <c r="A1470" t="s">
        <v>582</v>
      </c>
      <c r="B1470" t="s">
        <v>2681</v>
      </c>
      <c r="C1470">
        <v>6</v>
      </c>
      <c r="D1470">
        <v>1530</v>
      </c>
      <c r="E1470" t="s">
        <v>2488</v>
      </c>
    </row>
    <row r="1471" spans="1:5" x14ac:dyDescent="0.35">
      <c r="A1471" t="s">
        <v>582</v>
      </c>
      <c r="B1471" t="s">
        <v>2682</v>
      </c>
      <c r="C1471">
        <v>6</v>
      </c>
      <c r="D1471">
        <v>1531</v>
      </c>
      <c r="E1471" t="s">
        <v>2490</v>
      </c>
    </row>
    <row r="1472" spans="1:5" x14ac:dyDescent="0.35">
      <c r="A1472" t="s">
        <v>582</v>
      </c>
      <c r="B1472" t="s">
        <v>2683</v>
      </c>
      <c r="C1472">
        <v>6</v>
      </c>
      <c r="D1472">
        <v>1532</v>
      </c>
      <c r="E1472" t="s">
        <v>473</v>
      </c>
    </row>
    <row r="1473" spans="1:5" x14ac:dyDescent="0.35">
      <c r="A1473" t="s">
        <v>582</v>
      </c>
      <c r="B1473" t="s">
        <v>2684</v>
      </c>
      <c r="C1473">
        <v>6</v>
      </c>
      <c r="D1473">
        <v>1533</v>
      </c>
      <c r="E1473" t="s">
        <v>2492</v>
      </c>
    </row>
    <row r="1474" spans="1:5" x14ac:dyDescent="0.35">
      <c r="A1474" t="s">
        <v>582</v>
      </c>
      <c r="B1474" t="s">
        <v>2685</v>
      </c>
      <c r="C1474">
        <v>6</v>
      </c>
      <c r="D1474">
        <v>1534</v>
      </c>
      <c r="E1474" t="s">
        <v>2494</v>
      </c>
    </row>
    <row r="1475" spans="1:5" x14ac:dyDescent="0.35">
      <c r="A1475" t="s">
        <v>582</v>
      </c>
      <c r="B1475" t="s">
        <v>2686</v>
      </c>
      <c r="C1475">
        <v>6</v>
      </c>
      <c r="D1475">
        <v>1535</v>
      </c>
      <c r="E1475" t="s">
        <v>2496</v>
      </c>
    </row>
    <row r="1476" spans="1:5" x14ac:dyDescent="0.35">
      <c r="A1476" t="s">
        <v>582</v>
      </c>
      <c r="B1476" t="s">
        <v>2687</v>
      </c>
      <c r="C1476">
        <v>6</v>
      </c>
      <c r="D1476">
        <v>1536</v>
      </c>
      <c r="E1476" t="s">
        <v>2609</v>
      </c>
    </row>
    <row r="1477" spans="1:5" x14ac:dyDescent="0.35">
      <c r="A1477" t="s">
        <v>582</v>
      </c>
      <c r="B1477" t="s">
        <v>2688</v>
      </c>
      <c r="C1477">
        <v>6</v>
      </c>
      <c r="D1477">
        <v>1899</v>
      </c>
      <c r="E1477" t="s">
        <v>2689</v>
      </c>
    </row>
    <row r="1478" spans="1:5" x14ac:dyDescent="0.35">
      <c r="A1478" t="s">
        <v>582</v>
      </c>
      <c r="B1478" t="s">
        <v>2690</v>
      </c>
      <c r="C1478">
        <v>6</v>
      </c>
      <c r="D1478">
        <v>1961</v>
      </c>
      <c r="E1478" t="s">
        <v>2520</v>
      </c>
    </row>
    <row r="1479" spans="1:5" x14ac:dyDescent="0.35">
      <c r="A1479" t="s">
        <v>582</v>
      </c>
      <c r="B1479" t="s">
        <v>2691</v>
      </c>
      <c r="C1479">
        <v>6</v>
      </c>
      <c r="D1479">
        <v>1962</v>
      </c>
      <c r="E1479" t="s">
        <v>2520</v>
      </c>
    </row>
    <row r="1480" spans="1:5" x14ac:dyDescent="0.35">
      <c r="A1480" t="s">
        <v>582</v>
      </c>
      <c r="B1480" t="s">
        <v>2692</v>
      </c>
      <c r="C1480">
        <v>6</v>
      </c>
      <c r="D1480">
        <v>2086</v>
      </c>
      <c r="E1480" t="s">
        <v>2617</v>
      </c>
    </row>
    <row r="1481" spans="1:5" x14ac:dyDescent="0.35">
      <c r="A1481" t="s">
        <v>582</v>
      </c>
      <c r="B1481" t="s">
        <v>2693</v>
      </c>
      <c r="C1481">
        <v>6</v>
      </c>
      <c r="D1481">
        <v>2117</v>
      </c>
      <c r="E1481" t="s">
        <v>2619</v>
      </c>
    </row>
    <row r="1482" spans="1:5" x14ac:dyDescent="0.35">
      <c r="A1482" t="s">
        <v>582</v>
      </c>
      <c r="B1482" t="s">
        <v>2694</v>
      </c>
      <c r="C1482">
        <v>6</v>
      </c>
      <c r="D1482">
        <v>1537</v>
      </c>
      <c r="E1482" t="s">
        <v>2621</v>
      </c>
    </row>
    <row r="1483" spans="1:5" x14ac:dyDescent="0.35">
      <c r="A1483" t="s">
        <v>579</v>
      </c>
      <c r="B1483" t="s">
        <v>2695</v>
      </c>
      <c r="C1483">
        <v>5</v>
      </c>
      <c r="D1483">
        <v>1538</v>
      </c>
      <c r="E1483" t="s">
        <v>2524</v>
      </c>
    </row>
    <row r="1484" spans="1:5" x14ac:dyDescent="0.35">
      <c r="A1484" t="s">
        <v>582</v>
      </c>
      <c r="B1484" t="s">
        <v>2696</v>
      </c>
      <c r="C1484">
        <v>6</v>
      </c>
      <c r="D1484">
        <v>1539</v>
      </c>
      <c r="E1484" t="s">
        <v>2526</v>
      </c>
    </row>
    <row r="1485" spans="1:5" x14ac:dyDescent="0.35">
      <c r="A1485" t="s">
        <v>579</v>
      </c>
      <c r="B1485">
        <v>4</v>
      </c>
      <c r="C1485">
        <v>1</v>
      </c>
      <c r="D1485">
        <v>222</v>
      </c>
      <c r="E1485" t="s">
        <v>197</v>
      </c>
    </row>
    <row r="1486" spans="1:5" x14ac:dyDescent="0.35">
      <c r="A1486" t="s">
        <v>579</v>
      </c>
      <c r="B1486" t="s">
        <v>58</v>
      </c>
      <c r="C1486">
        <v>2</v>
      </c>
      <c r="D1486">
        <v>223</v>
      </c>
      <c r="E1486" t="s">
        <v>59</v>
      </c>
    </row>
    <row r="1487" spans="1:5" x14ac:dyDescent="0.35">
      <c r="A1487" t="s">
        <v>579</v>
      </c>
      <c r="B1487" t="s">
        <v>60</v>
      </c>
      <c r="C1487">
        <v>3</v>
      </c>
      <c r="D1487">
        <v>1540</v>
      </c>
      <c r="E1487" t="s">
        <v>61</v>
      </c>
    </row>
    <row r="1488" spans="1:5" x14ac:dyDescent="0.35">
      <c r="A1488" t="s">
        <v>579</v>
      </c>
      <c r="B1488" t="s">
        <v>62</v>
      </c>
      <c r="C1488">
        <v>4</v>
      </c>
      <c r="D1488">
        <v>1541</v>
      </c>
      <c r="E1488" t="s">
        <v>63</v>
      </c>
    </row>
    <row r="1489" spans="1:5" x14ac:dyDescent="0.35">
      <c r="A1489" t="s">
        <v>579</v>
      </c>
      <c r="B1489" t="s">
        <v>64</v>
      </c>
      <c r="C1489">
        <v>5</v>
      </c>
      <c r="D1489">
        <v>1542</v>
      </c>
      <c r="E1489" t="s">
        <v>65</v>
      </c>
    </row>
    <row r="1490" spans="1:5" x14ac:dyDescent="0.35">
      <c r="A1490" t="s">
        <v>582</v>
      </c>
      <c r="B1490" t="s">
        <v>66</v>
      </c>
      <c r="C1490">
        <v>6</v>
      </c>
      <c r="D1490">
        <v>1543</v>
      </c>
      <c r="E1490" t="s">
        <v>15</v>
      </c>
    </row>
    <row r="1491" spans="1:5" x14ac:dyDescent="0.35">
      <c r="A1491" t="s">
        <v>582</v>
      </c>
      <c r="B1491" t="s">
        <v>67</v>
      </c>
      <c r="C1491">
        <v>6</v>
      </c>
      <c r="D1491">
        <v>1544</v>
      </c>
      <c r="E1491" t="s">
        <v>19</v>
      </c>
    </row>
    <row r="1492" spans="1:5" x14ac:dyDescent="0.35">
      <c r="A1492" t="s">
        <v>582</v>
      </c>
      <c r="B1492" t="s">
        <v>68</v>
      </c>
      <c r="C1492">
        <v>6</v>
      </c>
      <c r="D1492">
        <v>1545</v>
      </c>
      <c r="E1492" t="s">
        <v>20</v>
      </c>
    </row>
    <row r="1493" spans="1:5" x14ac:dyDescent="0.35">
      <c r="A1493" t="s">
        <v>582</v>
      </c>
      <c r="B1493" t="s">
        <v>2697</v>
      </c>
      <c r="C1493">
        <v>6</v>
      </c>
      <c r="D1493">
        <v>1546</v>
      </c>
      <c r="E1493" t="s">
        <v>2698</v>
      </c>
    </row>
    <row r="1494" spans="1:5" x14ac:dyDescent="0.35">
      <c r="A1494" t="s">
        <v>582</v>
      </c>
      <c r="B1494" t="s">
        <v>69</v>
      </c>
      <c r="C1494">
        <v>6</v>
      </c>
      <c r="D1494">
        <v>1547</v>
      </c>
      <c r="E1494" t="s">
        <v>23</v>
      </c>
    </row>
    <row r="1495" spans="1:5" x14ac:dyDescent="0.35">
      <c r="A1495" t="s">
        <v>582</v>
      </c>
      <c r="B1495" t="s">
        <v>70</v>
      </c>
      <c r="C1495">
        <v>6</v>
      </c>
      <c r="D1495">
        <v>1548</v>
      </c>
      <c r="E1495" t="s">
        <v>11</v>
      </c>
    </row>
    <row r="1496" spans="1:5" x14ac:dyDescent="0.35">
      <c r="A1496" t="s">
        <v>582</v>
      </c>
      <c r="B1496" t="s">
        <v>71</v>
      </c>
      <c r="C1496">
        <v>6</v>
      </c>
      <c r="D1496">
        <v>1549</v>
      </c>
      <c r="E1496" t="s">
        <v>12</v>
      </c>
    </row>
    <row r="1497" spans="1:5" x14ac:dyDescent="0.35">
      <c r="A1497" t="s">
        <v>582</v>
      </c>
      <c r="B1497" t="s">
        <v>2699</v>
      </c>
      <c r="C1497">
        <v>6</v>
      </c>
      <c r="D1497">
        <v>1550</v>
      </c>
      <c r="E1497" t="s">
        <v>2700</v>
      </c>
    </row>
    <row r="1498" spans="1:5" x14ac:dyDescent="0.35">
      <c r="A1498" t="s">
        <v>582</v>
      </c>
      <c r="B1498" t="s">
        <v>72</v>
      </c>
      <c r="C1498">
        <v>6</v>
      </c>
      <c r="D1498">
        <v>1551</v>
      </c>
      <c r="E1498" t="s">
        <v>18</v>
      </c>
    </row>
    <row r="1499" spans="1:5" x14ac:dyDescent="0.35">
      <c r="A1499" t="s">
        <v>582</v>
      </c>
      <c r="B1499" t="s">
        <v>2701</v>
      </c>
      <c r="C1499">
        <v>6</v>
      </c>
      <c r="D1499">
        <v>1552</v>
      </c>
      <c r="E1499" t="s">
        <v>2702</v>
      </c>
    </row>
    <row r="1500" spans="1:5" x14ac:dyDescent="0.35">
      <c r="A1500" t="s">
        <v>582</v>
      </c>
      <c r="B1500" t="s">
        <v>73</v>
      </c>
      <c r="C1500">
        <v>6</v>
      </c>
      <c r="D1500">
        <v>1553</v>
      </c>
      <c r="E1500" t="s">
        <v>10</v>
      </c>
    </row>
    <row r="1501" spans="1:5" x14ac:dyDescent="0.35">
      <c r="A1501" t="s">
        <v>582</v>
      </c>
      <c r="B1501" t="s">
        <v>485</v>
      </c>
      <c r="C1501">
        <v>6</v>
      </c>
      <c r="D1501">
        <v>1554</v>
      </c>
      <c r="E1501" t="s">
        <v>160</v>
      </c>
    </row>
    <row r="1502" spans="1:5" x14ac:dyDescent="0.35">
      <c r="A1502" t="s">
        <v>582</v>
      </c>
      <c r="B1502" t="s">
        <v>2703</v>
      </c>
      <c r="C1502">
        <v>6</v>
      </c>
      <c r="D1502">
        <v>1555</v>
      </c>
      <c r="E1502" t="s">
        <v>2704</v>
      </c>
    </row>
    <row r="1503" spans="1:5" x14ac:dyDescent="0.35">
      <c r="A1503" t="s">
        <v>582</v>
      </c>
      <c r="B1503" t="s">
        <v>2705</v>
      </c>
      <c r="C1503">
        <v>6</v>
      </c>
      <c r="D1503">
        <v>1556</v>
      </c>
      <c r="E1503" t="s">
        <v>2706</v>
      </c>
    </row>
    <row r="1504" spans="1:5" x14ac:dyDescent="0.35">
      <c r="A1504" t="s">
        <v>582</v>
      </c>
      <c r="B1504" t="s">
        <v>74</v>
      </c>
      <c r="C1504">
        <v>6</v>
      </c>
      <c r="D1504">
        <v>1557</v>
      </c>
      <c r="E1504" t="s">
        <v>14</v>
      </c>
    </row>
    <row r="1505" spans="1:5" x14ac:dyDescent="0.35">
      <c r="A1505" t="s">
        <v>582</v>
      </c>
      <c r="B1505" t="s">
        <v>75</v>
      </c>
      <c r="C1505">
        <v>6</v>
      </c>
      <c r="D1505">
        <v>1558</v>
      </c>
      <c r="E1505" t="s">
        <v>16</v>
      </c>
    </row>
    <row r="1506" spans="1:5" x14ac:dyDescent="0.35">
      <c r="A1506" t="s">
        <v>582</v>
      </c>
      <c r="B1506" t="s">
        <v>76</v>
      </c>
      <c r="C1506">
        <v>6</v>
      </c>
      <c r="D1506">
        <v>1559</v>
      </c>
      <c r="E1506" t="s">
        <v>13</v>
      </c>
    </row>
    <row r="1507" spans="1:5" x14ac:dyDescent="0.35">
      <c r="A1507" t="s">
        <v>582</v>
      </c>
      <c r="B1507" t="s">
        <v>77</v>
      </c>
      <c r="C1507">
        <v>6</v>
      </c>
      <c r="D1507">
        <v>1560</v>
      </c>
      <c r="E1507" t="s">
        <v>17</v>
      </c>
    </row>
    <row r="1508" spans="1:5" x14ac:dyDescent="0.35">
      <c r="A1508" t="s">
        <v>582</v>
      </c>
      <c r="B1508" t="s">
        <v>2707</v>
      </c>
      <c r="C1508">
        <v>6</v>
      </c>
      <c r="D1508">
        <v>1988</v>
      </c>
      <c r="E1508" t="s">
        <v>2708</v>
      </c>
    </row>
    <row r="1509" spans="1:5" x14ac:dyDescent="0.35">
      <c r="A1509" t="s">
        <v>582</v>
      </c>
      <c r="B1509" t="s">
        <v>2709</v>
      </c>
      <c r="C1509">
        <v>6</v>
      </c>
      <c r="D1509">
        <v>1989</v>
      </c>
      <c r="E1509" t="s">
        <v>2710</v>
      </c>
    </row>
    <row r="1510" spans="1:5" x14ac:dyDescent="0.35">
      <c r="A1510" t="s">
        <v>582</v>
      </c>
      <c r="B1510" t="s">
        <v>488</v>
      </c>
      <c r="C1510">
        <v>6</v>
      </c>
      <c r="D1510">
        <v>2121</v>
      </c>
      <c r="E1510" t="s">
        <v>161</v>
      </c>
    </row>
    <row r="1511" spans="1:5" x14ac:dyDescent="0.35">
      <c r="A1511" t="s">
        <v>579</v>
      </c>
      <c r="B1511" t="s">
        <v>92</v>
      </c>
      <c r="C1511">
        <v>5</v>
      </c>
      <c r="D1511">
        <v>1561</v>
      </c>
      <c r="E1511" t="s">
        <v>81</v>
      </c>
    </row>
    <row r="1512" spans="1:5" x14ac:dyDescent="0.35">
      <c r="A1512" t="s">
        <v>582</v>
      </c>
      <c r="B1512" t="s">
        <v>490</v>
      </c>
      <c r="C1512">
        <v>6</v>
      </c>
      <c r="D1512">
        <v>1562</v>
      </c>
      <c r="E1512" t="s">
        <v>175</v>
      </c>
    </row>
    <row r="1513" spans="1:5" x14ac:dyDescent="0.35">
      <c r="A1513" t="s">
        <v>582</v>
      </c>
      <c r="B1513" t="s">
        <v>2711</v>
      </c>
      <c r="C1513">
        <v>6</v>
      </c>
      <c r="D1513">
        <v>1563</v>
      </c>
      <c r="E1513" t="s">
        <v>2712</v>
      </c>
    </row>
    <row r="1514" spans="1:5" x14ac:dyDescent="0.35">
      <c r="A1514" t="s">
        <v>582</v>
      </c>
      <c r="B1514" t="s">
        <v>2713</v>
      </c>
      <c r="C1514">
        <v>6</v>
      </c>
      <c r="D1514">
        <v>1564</v>
      </c>
      <c r="E1514" t="s">
        <v>2714</v>
      </c>
    </row>
    <row r="1515" spans="1:5" x14ac:dyDescent="0.35">
      <c r="A1515" t="s">
        <v>582</v>
      </c>
      <c r="B1515" t="s">
        <v>2715</v>
      </c>
      <c r="C1515">
        <v>6</v>
      </c>
      <c r="D1515">
        <v>1565</v>
      </c>
      <c r="E1515" t="s">
        <v>2716</v>
      </c>
    </row>
    <row r="1516" spans="1:5" x14ac:dyDescent="0.35">
      <c r="A1516" t="s">
        <v>582</v>
      </c>
      <c r="B1516" t="s">
        <v>2717</v>
      </c>
      <c r="C1516">
        <v>6</v>
      </c>
      <c r="D1516">
        <v>1566</v>
      </c>
      <c r="E1516" t="s">
        <v>2718</v>
      </c>
    </row>
    <row r="1517" spans="1:5" x14ac:dyDescent="0.35">
      <c r="A1517" t="s">
        <v>582</v>
      </c>
      <c r="B1517" t="s">
        <v>2719</v>
      </c>
      <c r="C1517">
        <v>6</v>
      </c>
      <c r="D1517">
        <v>1567</v>
      </c>
      <c r="E1517" t="s">
        <v>2720</v>
      </c>
    </row>
    <row r="1518" spans="1:5" x14ac:dyDescent="0.35">
      <c r="A1518" t="s">
        <v>582</v>
      </c>
      <c r="B1518" t="s">
        <v>2721</v>
      </c>
      <c r="C1518">
        <v>6</v>
      </c>
      <c r="D1518">
        <v>1900</v>
      </c>
      <c r="E1518" t="s">
        <v>2500</v>
      </c>
    </row>
    <row r="1519" spans="1:5" x14ac:dyDescent="0.35">
      <c r="A1519" t="s">
        <v>582</v>
      </c>
      <c r="B1519" t="s">
        <v>492</v>
      </c>
      <c r="C1519">
        <v>6</v>
      </c>
      <c r="D1519">
        <v>2124</v>
      </c>
      <c r="E1519" t="s">
        <v>82</v>
      </c>
    </row>
    <row r="1520" spans="1:5" x14ac:dyDescent="0.35">
      <c r="A1520" t="s">
        <v>582</v>
      </c>
      <c r="B1520" t="s">
        <v>2722</v>
      </c>
      <c r="C1520">
        <v>6</v>
      </c>
      <c r="D1520">
        <v>2125</v>
      </c>
      <c r="E1520" t="s">
        <v>2723</v>
      </c>
    </row>
    <row r="1521" spans="1:5" x14ac:dyDescent="0.35">
      <c r="A1521" t="s">
        <v>582</v>
      </c>
      <c r="B1521" t="s">
        <v>2724</v>
      </c>
      <c r="C1521">
        <v>6</v>
      </c>
      <c r="D1521">
        <v>2126</v>
      </c>
      <c r="E1521" t="s">
        <v>2725</v>
      </c>
    </row>
    <row r="1522" spans="1:5" x14ac:dyDescent="0.35">
      <c r="A1522" t="s">
        <v>582</v>
      </c>
      <c r="B1522" t="s">
        <v>2726</v>
      </c>
      <c r="C1522">
        <v>6</v>
      </c>
      <c r="D1522">
        <v>2127</v>
      </c>
      <c r="E1522" t="s">
        <v>2727</v>
      </c>
    </row>
    <row r="1523" spans="1:5" x14ac:dyDescent="0.35">
      <c r="A1523" t="s">
        <v>582</v>
      </c>
      <c r="B1523" t="s">
        <v>2728</v>
      </c>
      <c r="C1523">
        <v>6</v>
      </c>
      <c r="D1523">
        <v>2128</v>
      </c>
      <c r="E1523" t="s">
        <v>2729</v>
      </c>
    </row>
    <row r="1524" spans="1:5" x14ac:dyDescent="0.35">
      <c r="A1524" t="s">
        <v>582</v>
      </c>
      <c r="B1524" t="s">
        <v>2730</v>
      </c>
      <c r="C1524">
        <v>6</v>
      </c>
      <c r="D1524">
        <v>2129</v>
      </c>
      <c r="E1524" t="s">
        <v>2731</v>
      </c>
    </row>
    <row r="1525" spans="1:5" x14ac:dyDescent="0.35">
      <c r="A1525" t="s">
        <v>582</v>
      </c>
      <c r="B1525" t="s">
        <v>494</v>
      </c>
      <c r="C1525">
        <v>6</v>
      </c>
      <c r="D1525">
        <v>2130</v>
      </c>
      <c r="E1525" t="s">
        <v>83</v>
      </c>
    </row>
    <row r="1526" spans="1:5" x14ac:dyDescent="0.35">
      <c r="A1526" t="s">
        <v>582</v>
      </c>
      <c r="B1526" t="s">
        <v>2732</v>
      </c>
      <c r="C1526">
        <v>6</v>
      </c>
      <c r="D1526">
        <v>2131</v>
      </c>
      <c r="E1526" t="s">
        <v>2733</v>
      </c>
    </row>
    <row r="1527" spans="1:5" x14ac:dyDescent="0.35">
      <c r="A1527" t="s">
        <v>582</v>
      </c>
      <c r="B1527" t="s">
        <v>2734</v>
      </c>
      <c r="C1527">
        <v>6</v>
      </c>
      <c r="D1527">
        <v>2132</v>
      </c>
      <c r="E1527" t="s">
        <v>2735</v>
      </c>
    </row>
    <row r="1528" spans="1:5" x14ac:dyDescent="0.35">
      <c r="A1528" t="s">
        <v>582</v>
      </c>
      <c r="B1528" t="s">
        <v>496</v>
      </c>
      <c r="C1528">
        <v>6</v>
      </c>
      <c r="D1528">
        <v>2133</v>
      </c>
      <c r="E1528" t="s">
        <v>29</v>
      </c>
    </row>
    <row r="1529" spans="1:5" x14ac:dyDescent="0.35">
      <c r="A1529" t="s">
        <v>582</v>
      </c>
      <c r="B1529" t="s">
        <v>498</v>
      </c>
      <c r="C1529">
        <v>6</v>
      </c>
      <c r="D1529">
        <v>2134</v>
      </c>
      <c r="E1529" t="s">
        <v>171</v>
      </c>
    </row>
    <row r="1530" spans="1:5" x14ac:dyDescent="0.35">
      <c r="A1530" t="s">
        <v>582</v>
      </c>
      <c r="B1530" t="s">
        <v>499</v>
      </c>
      <c r="C1530">
        <v>6</v>
      </c>
      <c r="D1530">
        <v>2135</v>
      </c>
      <c r="E1530" t="s">
        <v>168</v>
      </c>
    </row>
    <row r="1531" spans="1:5" x14ac:dyDescent="0.35">
      <c r="A1531" t="s">
        <v>582</v>
      </c>
      <c r="B1531" t="s">
        <v>93</v>
      </c>
      <c r="C1531">
        <v>6</v>
      </c>
      <c r="D1531">
        <v>2136</v>
      </c>
      <c r="E1531" t="s">
        <v>28</v>
      </c>
    </row>
    <row r="1532" spans="1:5" x14ac:dyDescent="0.35">
      <c r="A1532" t="s">
        <v>582</v>
      </c>
      <c r="B1532" t="s">
        <v>2736</v>
      </c>
      <c r="C1532">
        <v>6</v>
      </c>
      <c r="D1532">
        <v>2099</v>
      </c>
      <c r="E1532" t="s">
        <v>2657</v>
      </c>
    </row>
    <row r="1533" spans="1:5" x14ac:dyDescent="0.35">
      <c r="A1533" t="s">
        <v>582</v>
      </c>
      <c r="B1533" t="s">
        <v>501</v>
      </c>
      <c r="C1533">
        <v>6</v>
      </c>
      <c r="D1533">
        <v>2137</v>
      </c>
      <c r="E1533" t="s">
        <v>174</v>
      </c>
    </row>
    <row r="1534" spans="1:5" x14ac:dyDescent="0.35">
      <c r="A1534" t="s">
        <v>582</v>
      </c>
      <c r="B1534" t="s">
        <v>2737</v>
      </c>
      <c r="C1534">
        <v>6</v>
      </c>
      <c r="D1534">
        <v>2138</v>
      </c>
      <c r="E1534" t="s">
        <v>2738</v>
      </c>
    </row>
    <row r="1535" spans="1:5" x14ac:dyDescent="0.35">
      <c r="A1535" t="s">
        <v>579</v>
      </c>
      <c r="B1535" t="s">
        <v>503</v>
      </c>
      <c r="C1535">
        <v>5</v>
      </c>
      <c r="D1535">
        <v>1568</v>
      </c>
      <c r="E1535" t="s">
        <v>504</v>
      </c>
    </row>
    <row r="1536" spans="1:5" x14ac:dyDescent="0.35">
      <c r="A1536" t="s">
        <v>582</v>
      </c>
      <c r="B1536" t="s">
        <v>249</v>
      </c>
      <c r="C1536">
        <v>6</v>
      </c>
      <c r="D1536">
        <v>1569</v>
      </c>
      <c r="E1536" t="s">
        <v>163</v>
      </c>
    </row>
    <row r="1537" spans="1:5" x14ac:dyDescent="0.35">
      <c r="A1537" t="s">
        <v>582</v>
      </c>
      <c r="B1537" t="s">
        <v>251</v>
      </c>
      <c r="C1537">
        <v>6</v>
      </c>
      <c r="D1537">
        <v>1570</v>
      </c>
      <c r="E1537" t="s">
        <v>506</v>
      </c>
    </row>
    <row r="1538" spans="1:5" x14ac:dyDescent="0.35">
      <c r="A1538" t="s">
        <v>582</v>
      </c>
      <c r="B1538" t="s">
        <v>260</v>
      </c>
      <c r="C1538">
        <v>6</v>
      </c>
      <c r="D1538">
        <v>1571</v>
      </c>
      <c r="E1538" t="s">
        <v>162</v>
      </c>
    </row>
    <row r="1539" spans="1:5" x14ac:dyDescent="0.35">
      <c r="A1539" t="s">
        <v>582</v>
      </c>
      <c r="B1539" t="s">
        <v>268</v>
      </c>
      <c r="C1539">
        <v>6</v>
      </c>
      <c r="D1539">
        <v>1572</v>
      </c>
      <c r="E1539" t="s">
        <v>164</v>
      </c>
    </row>
    <row r="1540" spans="1:5" x14ac:dyDescent="0.35">
      <c r="A1540" t="s">
        <v>582</v>
      </c>
      <c r="B1540" t="s">
        <v>2739</v>
      </c>
      <c r="C1540">
        <v>6</v>
      </c>
      <c r="D1540">
        <v>1573</v>
      </c>
      <c r="E1540" t="s">
        <v>767</v>
      </c>
    </row>
    <row r="1541" spans="1:5" x14ac:dyDescent="0.35">
      <c r="A1541" t="s">
        <v>582</v>
      </c>
      <c r="B1541" t="s">
        <v>262</v>
      </c>
      <c r="C1541">
        <v>6</v>
      </c>
      <c r="D1541">
        <v>1574</v>
      </c>
      <c r="E1541" t="s">
        <v>2740</v>
      </c>
    </row>
    <row r="1542" spans="1:5" x14ac:dyDescent="0.35">
      <c r="A1542" t="s">
        <v>582</v>
      </c>
      <c r="B1542" t="s">
        <v>252</v>
      </c>
      <c r="C1542">
        <v>6</v>
      </c>
      <c r="D1542">
        <v>1575</v>
      </c>
      <c r="E1542" t="s">
        <v>24</v>
      </c>
    </row>
    <row r="1543" spans="1:5" x14ac:dyDescent="0.35">
      <c r="A1543" t="s">
        <v>582</v>
      </c>
      <c r="B1543" t="s">
        <v>257</v>
      </c>
      <c r="C1543">
        <v>6</v>
      </c>
      <c r="D1543">
        <v>1576</v>
      </c>
      <c r="E1543" t="s">
        <v>509</v>
      </c>
    </row>
    <row r="1544" spans="1:5" x14ac:dyDescent="0.35">
      <c r="A1544" t="s">
        <v>582</v>
      </c>
      <c r="B1544" t="s">
        <v>254</v>
      </c>
      <c r="C1544">
        <v>6</v>
      </c>
      <c r="D1544">
        <v>1577</v>
      </c>
      <c r="E1544" t="s">
        <v>511</v>
      </c>
    </row>
    <row r="1545" spans="1:5" x14ac:dyDescent="0.35">
      <c r="A1545" t="s">
        <v>582</v>
      </c>
      <c r="B1545" t="s">
        <v>255</v>
      </c>
      <c r="C1545">
        <v>6</v>
      </c>
      <c r="D1545">
        <v>1578</v>
      </c>
      <c r="E1545" t="s">
        <v>26</v>
      </c>
    </row>
    <row r="1546" spans="1:5" x14ac:dyDescent="0.35">
      <c r="A1546" t="s">
        <v>582</v>
      </c>
      <c r="B1546" t="s">
        <v>2741</v>
      </c>
      <c r="C1546">
        <v>6</v>
      </c>
      <c r="D1546">
        <v>1579</v>
      </c>
      <c r="E1546" t="s">
        <v>2742</v>
      </c>
    </row>
    <row r="1547" spans="1:5" x14ac:dyDescent="0.35">
      <c r="A1547" t="s">
        <v>582</v>
      </c>
      <c r="B1547" t="s">
        <v>2743</v>
      </c>
      <c r="C1547">
        <v>6</v>
      </c>
      <c r="D1547">
        <v>1580</v>
      </c>
      <c r="E1547" t="s">
        <v>2744</v>
      </c>
    </row>
    <row r="1548" spans="1:5" x14ac:dyDescent="0.35">
      <c r="A1548" t="s">
        <v>582</v>
      </c>
      <c r="B1548" t="s">
        <v>2745</v>
      </c>
      <c r="C1548">
        <v>6</v>
      </c>
      <c r="D1548">
        <v>1581</v>
      </c>
      <c r="E1548" t="s">
        <v>167</v>
      </c>
    </row>
    <row r="1549" spans="1:5" x14ac:dyDescent="0.35">
      <c r="A1549" t="s">
        <v>582</v>
      </c>
      <c r="B1549" t="s">
        <v>265</v>
      </c>
      <c r="C1549">
        <v>6</v>
      </c>
      <c r="D1549">
        <v>1582</v>
      </c>
      <c r="E1549" t="s">
        <v>80</v>
      </c>
    </row>
    <row r="1550" spans="1:5" x14ac:dyDescent="0.35">
      <c r="A1550" t="s">
        <v>582</v>
      </c>
      <c r="B1550" t="s">
        <v>2746</v>
      </c>
      <c r="C1550">
        <v>6</v>
      </c>
      <c r="D1550">
        <v>1583</v>
      </c>
      <c r="E1550" t="s">
        <v>769</v>
      </c>
    </row>
    <row r="1551" spans="1:5" x14ac:dyDescent="0.35">
      <c r="A1551" t="s">
        <v>579</v>
      </c>
      <c r="B1551" t="s">
        <v>2747</v>
      </c>
      <c r="C1551">
        <v>5</v>
      </c>
      <c r="D1551">
        <v>1584</v>
      </c>
      <c r="E1551" t="s">
        <v>2748</v>
      </c>
    </row>
    <row r="1552" spans="1:5" x14ac:dyDescent="0.35">
      <c r="A1552" t="s">
        <v>582</v>
      </c>
      <c r="B1552" t="s">
        <v>2749</v>
      </c>
      <c r="C1552">
        <v>6</v>
      </c>
      <c r="D1552">
        <v>1585</v>
      </c>
      <c r="E1552" t="s">
        <v>2750</v>
      </c>
    </row>
    <row r="1553" spans="1:5" x14ac:dyDescent="0.35">
      <c r="A1553" t="s">
        <v>582</v>
      </c>
      <c r="B1553" t="s">
        <v>2751</v>
      </c>
      <c r="C1553">
        <v>6</v>
      </c>
      <c r="D1553">
        <v>1586</v>
      </c>
      <c r="E1553" t="s">
        <v>2752</v>
      </c>
    </row>
    <row r="1554" spans="1:5" x14ac:dyDescent="0.35">
      <c r="A1554" t="s">
        <v>582</v>
      </c>
      <c r="B1554" t="s">
        <v>2753</v>
      </c>
      <c r="C1554">
        <v>6</v>
      </c>
      <c r="D1554">
        <v>1587</v>
      </c>
      <c r="E1554" t="s">
        <v>2754</v>
      </c>
    </row>
    <row r="1555" spans="1:5" x14ac:dyDescent="0.35">
      <c r="A1555" t="s">
        <v>582</v>
      </c>
      <c r="B1555" t="s">
        <v>2755</v>
      </c>
      <c r="C1555">
        <v>6</v>
      </c>
      <c r="D1555">
        <v>1588</v>
      </c>
      <c r="E1555" t="s">
        <v>2756</v>
      </c>
    </row>
    <row r="1556" spans="1:5" x14ac:dyDescent="0.35">
      <c r="A1556" t="s">
        <v>582</v>
      </c>
      <c r="B1556" t="s">
        <v>2757</v>
      </c>
      <c r="C1556">
        <v>6</v>
      </c>
      <c r="D1556">
        <v>1589</v>
      </c>
      <c r="E1556" t="s">
        <v>2758</v>
      </c>
    </row>
    <row r="1557" spans="1:5" x14ac:dyDescent="0.35">
      <c r="A1557" t="s">
        <v>582</v>
      </c>
      <c r="B1557" t="s">
        <v>2759</v>
      </c>
      <c r="C1557">
        <v>6</v>
      </c>
      <c r="D1557">
        <v>1590</v>
      </c>
      <c r="E1557" t="s">
        <v>2760</v>
      </c>
    </row>
    <row r="1558" spans="1:5" x14ac:dyDescent="0.35">
      <c r="A1558" t="s">
        <v>579</v>
      </c>
      <c r="B1558" t="s">
        <v>94</v>
      </c>
      <c r="C1558">
        <v>5</v>
      </c>
      <c r="D1558">
        <v>1591</v>
      </c>
      <c r="E1558" t="s">
        <v>95</v>
      </c>
    </row>
    <row r="1559" spans="1:5" x14ac:dyDescent="0.35">
      <c r="A1559" t="s">
        <v>582</v>
      </c>
      <c r="B1559" t="s">
        <v>2761</v>
      </c>
      <c r="C1559">
        <v>6</v>
      </c>
      <c r="D1559">
        <v>1592</v>
      </c>
      <c r="E1559" t="s">
        <v>2480</v>
      </c>
    </row>
    <row r="1560" spans="1:5" x14ac:dyDescent="0.35">
      <c r="A1560" t="s">
        <v>582</v>
      </c>
      <c r="B1560" t="s">
        <v>513</v>
      </c>
      <c r="C1560">
        <v>6</v>
      </c>
      <c r="D1560">
        <v>1593</v>
      </c>
      <c r="E1560" t="s">
        <v>35</v>
      </c>
    </row>
    <row r="1561" spans="1:5" x14ac:dyDescent="0.35">
      <c r="A1561" t="s">
        <v>582</v>
      </c>
      <c r="B1561" t="s">
        <v>514</v>
      </c>
      <c r="C1561">
        <v>6</v>
      </c>
      <c r="D1561">
        <v>1594</v>
      </c>
      <c r="E1561" t="s">
        <v>31</v>
      </c>
    </row>
    <row r="1562" spans="1:5" x14ac:dyDescent="0.35">
      <c r="A1562" t="s">
        <v>582</v>
      </c>
      <c r="B1562" t="s">
        <v>515</v>
      </c>
      <c r="C1562">
        <v>6</v>
      </c>
      <c r="D1562">
        <v>1595</v>
      </c>
      <c r="E1562" t="s">
        <v>36</v>
      </c>
    </row>
    <row r="1563" spans="1:5" x14ac:dyDescent="0.35">
      <c r="A1563" t="s">
        <v>582</v>
      </c>
      <c r="B1563" t="s">
        <v>516</v>
      </c>
      <c r="C1563">
        <v>6</v>
      </c>
      <c r="D1563">
        <v>1596</v>
      </c>
      <c r="E1563" t="s">
        <v>37</v>
      </c>
    </row>
    <row r="1564" spans="1:5" x14ac:dyDescent="0.35">
      <c r="A1564" t="s">
        <v>582</v>
      </c>
      <c r="B1564" t="s">
        <v>2762</v>
      </c>
      <c r="C1564">
        <v>6</v>
      </c>
      <c r="D1564">
        <v>1597</v>
      </c>
      <c r="E1564" t="s">
        <v>2763</v>
      </c>
    </row>
    <row r="1565" spans="1:5" x14ac:dyDescent="0.35">
      <c r="A1565" t="s">
        <v>582</v>
      </c>
      <c r="B1565" t="s">
        <v>2764</v>
      </c>
      <c r="C1565">
        <v>6</v>
      </c>
      <c r="D1565">
        <v>1598</v>
      </c>
      <c r="E1565" t="s">
        <v>2765</v>
      </c>
    </row>
    <row r="1566" spans="1:5" x14ac:dyDescent="0.35">
      <c r="A1566" t="s">
        <v>582</v>
      </c>
      <c r="B1566" t="s">
        <v>98</v>
      </c>
      <c r="C1566">
        <v>6</v>
      </c>
      <c r="D1566">
        <v>1599</v>
      </c>
      <c r="E1566" t="s">
        <v>39</v>
      </c>
    </row>
    <row r="1567" spans="1:5" x14ac:dyDescent="0.35">
      <c r="A1567" t="s">
        <v>582</v>
      </c>
      <c r="B1567" t="s">
        <v>2766</v>
      </c>
      <c r="C1567">
        <v>6</v>
      </c>
      <c r="D1567">
        <v>1600</v>
      </c>
      <c r="E1567" t="s">
        <v>2767</v>
      </c>
    </row>
    <row r="1568" spans="1:5" x14ac:dyDescent="0.35">
      <c r="A1568" t="s">
        <v>582</v>
      </c>
      <c r="B1568" t="s">
        <v>2768</v>
      </c>
      <c r="C1568">
        <v>6</v>
      </c>
      <c r="D1568">
        <v>1601</v>
      </c>
      <c r="E1568" t="s">
        <v>2769</v>
      </c>
    </row>
    <row r="1569" spans="1:5" x14ac:dyDescent="0.35">
      <c r="A1569" t="s">
        <v>582</v>
      </c>
      <c r="B1569" t="s">
        <v>518</v>
      </c>
      <c r="C1569">
        <v>6</v>
      </c>
      <c r="D1569">
        <v>1602</v>
      </c>
      <c r="E1569" t="s">
        <v>34</v>
      </c>
    </row>
    <row r="1570" spans="1:5" x14ac:dyDescent="0.35">
      <c r="A1570" t="s">
        <v>582</v>
      </c>
      <c r="B1570" t="s">
        <v>519</v>
      </c>
      <c r="C1570">
        <v>6</v>
      </c>
      <c r="D1570">
        <v>1603</v>
      </c>
      <c r="E1570" t="s">
        <v>520</v>
      </c>
    </row>
    <row r="1571" spans="1:5" x14ac:dyDescent="0.35">
      <c r="A1571" t="s">
        <v>582</v>
      </c>
      <c r="B1571" t="s">
        <v>2770</v>
      </c>
      <c r="C1571">
        <v>6</v>
      </c>
      <c r="D1571">
        <v>1604</v>
      </c>
      <c r="E1571" t="s">
        <v>2771</v>
      </c>
    </row>
    <row r="1572" spans="1:5" x14ac:dyDescent="0.35">
      <c r="A1572" t="s">
        <v>582</v>
      </c>
      <c r="B1572" t="s">
        <v>521</v>
      </c>
      <c r="C1572">
        <v>6</v>
      </c>
      <c r="D1572">
        <v>1605</v>
      </c>
      <c r="E1572" t="s">
        <v>522</v>
      </c>
    </row>
    <row r="1573" spans="1:5" x14ac:dyDescent="0.35">
      <c r="A1573" t="s">
        <v>582</v>
      </c>
      <c r="B1573" t="s">
        <v>523</v>
      </c>
      <c r="C1573">
        <v>6</v>
      </c>
      <c r="D1573">
        <v>1606</v>
      </c>
      <c r="E1573" t="s">
        <v>524</v>
      </c>
    </row>
    <row r="1574" spans="1:5" x14ac:dyDescent="0.35">
      <c r="A1574" t="s">
        <v>582</v>
      </c>
      <c r="B1574" t="s">
        <v>2772</v>
      </c>
      <c r="C1574">
        <v>6</v>
      </c>
      <c r="D1574">
        <v>1607</v>
      </c>
      <c r="E1574" t="s">
        <v>2773</v>
      </c>
    </row>
    <row r="1575" spans="1:5" x14ac:dyDescent="0.35">
      <c r="A1575" t="s">
        <v>582</v>
      </c>
      <c r="B1575" t="s">
        <v>2774</v>
      </c>
      <c r="C1575">
        <v>6</v>
      </c>
      <c r="D1575">
        <v>1608</v>
      </c>
      <c r="E1575" t="s">
        <v>2775</v>
      </c>
    </row>
    <row r="1576" spans="1:5" x14ac:dyDescent="0.35">
      <c r="A1576" t="s">
        <v>582</v>
      </c>
      <c r="B1576" t="s">
        <v>2776</v>
      </c>
      <c r="C1576">
        <v>6</v>
      </c>
      <c r="D1576">
        <v>1609</v>
      </c>
      <c r="E1576" t="s">
        <v>1059</v>
      </c>
    </row>
    <row r="1577" spans="1:5" x14ac:dyDescent="0.35">
      <c r="A1577" t="s">
        <v>582</v>
      </c>
      <c r="B1577" t="s">
        <v>2777</v>
      </c>
      <c r="C1577">
        <v>6</v>
      </c>
      <c r="D1577">
        <v>1610</v>
      </c>
      <c r="E1577" t="s">
        <v>2778</v>
      </c>
    </row>
    <row r="1578" spans="1:5" x14ac:dyDescent="0.35">
      <c r="A1578" t="s">
        <v>582</v>
      </c>
      <c r="B1578" t="s">
        <v>2779</v>
      </c>
      <c r="C1578">
        <v>6</v>
      </c>
      <c r="D1578">
        <v>1611</v>
      </c>
      <c r="E1578" t="s">
        <v>2780</v>
      </c>
    </row>
    <row r="1579" spans="1:5" x14ac:dyDescent="0.35">
      <c r="A1579" t="s">
        <v>582</v>
      </c>
      <c r="B1579" t="s">
        <v>2781</v>
      </c>
      <c r="C1579">
        <v>6</v>
      </c>
      <c r="D1579">
        <v>1612</v>
      </c>
      <c r="E1579" t="s">
        <v>2782</v>
      </c>
    </row>
    <row r="1580" spans="1:5" x14ac:dyDescent="0.35">
      <c r="A1580" t="s">
        <v>582</v>
      </c>
      <c r="B1580" t="s">
        <v>2783</v>
      </c>
      <c r="C1580">
        <v>6</v>
      </c>
      <c r="D1580">
        <v>1613</v>
      </c>
      <c r="E1580" t="s">
        <v>2784</v>
      </c>
    </row>
    <row r="1581" spans="1:5" x14ac:dyDescent="0.35">
      <c r="A1581" t="s">
        <v>582</v>
      </c>
      <c r="B1581" t="s">
        <v>2785</v>
      </c>
      <c r="C1581">
        <v>6</v>
      </c>
      <c r="D1581">
        <v>1614</v>
      </c>
      <c r="E1581" t="s">
        <v>2786</v>
      </c>
    </row>
    <row r="1582" spans="1:5" x14ac:dyDescent="0.35">
      <c r="A1582" t="s">
        <v>582</v>
      </c>
      <c r="B1582" t="s">
        <v>2787</v>
      </c>
      <c r="C1582">
        <v>6</v>
      </c>
      <c r="D1582">
        <v>1615</v>
      </c>
      <c r="E1582" t="s">
        <v>2788</v>
      </c>
    </row>
    <row r="1583" spans="1:5" x14ac:dyDescent="0.35">
      <c r="A1583" t="s">
        <v>582</v>
      </c>
      <c r="B1583" t="s">
        <v>525</v>
      </c>
      <c r="C1583">
        <v>6</v>
      </c>
      <c r="D1583">
        <v>2096</v>
      </c>
      <c r="E1583" t="s">
        <v>526</v>
      </c>
    </row>
    <row r="1584" spans="1:5" x14ac:dyDescent="0.35">
      <c r="A1584" t="s">
        <v>582</v>
      </c>
      <c r="B1584" t="s">
        <v>2789</v>
      </c>
      <c r="C1584">
        <v>6</v>
      </c>
      <c r="D1584">
        <v>2106</v>
      </c>
      <c r="E1584" t="s">
        <v>2790</v>
      </c>
    </row>
    <row r="1585" spans="1:5" x14ac:dyDescent="0.35">
      <c r="A1585" t="s">
        <v>582</v>
      </c>
      <c r="B1585" t="s">
        <v>2791</v>
      </c>
      <c r="C1585">
        <v>6</v>
      </c>
      <c r="D1585">
        <v>2118</v>
      </c>
      <c r="E1585" t="s">
        <v>2792</v>
      </c>
    </row>
    <row r="1586" spans="1:5" x14ac:dyDescent="0.35">
      <c r="A1586" t="s">
        <v>582</v>
      </c>
      <c r="B1586" t="s">
        <v>527</v>
      </c>
      <c r="C1586">
        <v>6</v>
      </c>
      <c r="D1586">
        <v>2139</v>
      </c>
      <c r="E1586" t="s">
        <v>177</v>
      </c>
    </row>
    <row r="1587" spans="1:5" x14ac:dyDescent="0.35">
      <c r="A1587" t="s">
        <v>582</v>
      </c>
      <c r="B1587" t="s">
        <v>529</v>
      </c>
      <c r="C1587">
        <v>6</v>
      </c>
      <c r="D1587">
        <v>2140</v>
      </c>
      <c r="E1587" t="s">
        <v>32</v>
      </c>
    </row>
    <row r="1588" spans="1:5" x14ac:dyDescent="0.35">
      <c r="A1588" t="s">
        <v>582</v>
      </c>
      <c r="B1588" t="s">
        <v>2793</v>
      </c>
      <c r="C1588">
        <v>6</v>
      </c>
      <c r="D1588">
        <v>2141</v>
      </c>
      <c r="E1588" t="s">
        <v>33</v>
      </c>
    </row>
    <row r="1589" spans="1:5" x14ac:dyDescent="0.35">
      <c r="A1589" t="s">
        <v>582</v>
      </c>
      <c r="B1589" t="s">
        <v>2794</v>
      </c>
      <c r="C1589">
        <v>6</v>
      </c>
      <c r="D1589">
        <v>2176</v>
      </c>
      <c r="E1589" t="s">
        <v>2795</v>
      </c>
    </row>
    <row r="1590" spans="1:5" x14ac:dyDescent="0.35">
      <c r="A1590" t="s">
        <v>582</v>
      </c>
      <c r="B1590" t="s">
        <v>2796</v>
      </c>
      <c r="C1590">
        <v>6</v>
      </c>
      <c r="D1590">
        <v>2177</v>
      </c>
      <c r="E1590" t="s">
        <v>2797</v>
      </c>
    </row>
    <row r="1591" spans="1:5" x14ac:dyDescent="0.35">
      <c r="A1591" t="s">
        <v>582</v>
      </c>
      <c r="B1591" t="s">
        <v>2798</v>
      </c>
      <c r="C1591">
        <v>6</v>
      </c>
      <c r="D1591">
        <v>2178</v>
      </c>
      <c r="E1591" t="s">
        <v>2799</v>
      </c>
    </row>
    <row r="1592" spans="1:5" x14ac:dyDescent="0.35">
      <c r="A1592" t="s">
        <v>582</v>
      </c>
      <c r="B1592" t="s">
        <v>2800</v>
      </c>
      <c r="C1592">
        <v>6</v>
      </c>
      <c r="D1592">
        <v>2179</v>
      </c>
      <c r="E1592" t="s">
        <v>2801</v>
      </c>
    </row>
    <row r="1593" spans="1:5" x14ac:dyDescent="0.35">
      <c r="A1593" t="s">
        <v>582</v>
      </c>
      <c r="B1593" t="s">
        <v>2802</v>
      </c>
      <c r="C1593">
        <v>6</v>
      </c>
      <c r="D1593">
        <v>2180</v>
      </c>
      <c r="E1593" t="s">
        <v>2803</v>
      </c>
    </row>
    <row r="1594" spans="1:5" x14ac:dyDescent="0.35">
      <c r="A1594" t="s">
        <v>582</v>
      </c>
      <c r="B1594" t="s">
        <v>2804</v>
      </c>
      <c r="C1594">
        <v>6</v>
      </c>
      <c r="D1594">
        <v>2181</v>
      </c>
      <c r="E1594" t="s">
        <v>2805</v>
      </c>
    </row>
    <row r="1595" spans="1:5" x14ac:dyDescent="0.35">
      <c r="A1595" t="s">
        <v>582</v>
      </c>
      <c r="B1595" t="s">
        <v>2806</v>
      </c>
      <c r="C1595">
        <v>6</v>
      </c>
      <c r="D1595">
        <v>2182</v>
      </c>
      <c r="E1595" t="s">
        <v>2807</v>
      </c>
    </row>
    <row r="1596" spans="1:5" x14ac:dyDescent="0.35">
      <c r="A1596" t="s">
        <v>582</v>
      </c>
      <c r="B1596" t="s">
        <v>2808</v>
      </c>
      <c r="C1596">
        <v>6</v>
      </c>
      <c r="D1596">
        <v>2183</v>
      </c>
      <c r="E1596" t="s">
        <v>2809</v>
      </c>
    </row>
    <row r="1597" spans="1:5" x14ac:dyDescent="0.35">
      <c r="A1597" t="s">
        <v>582</v>
      </c>
      <c r="B1597" t="s">
        <v>2810</v>
      </c>
      <c r="C1597">
        <v>6</v>
      </c>
      <c r="D1597">
        <v>2184</v>
      </c>
      <c r="E1597" t="s">
        <v>2811</v>
      </c>
    </row>
    <row r="1598" spans="1:5" x14ac:dyDescent="0.35">
      <c r="A1598" t="s">
        <v>582</v>
      </c>
      <c r="B1598" t="s">
        <v>2812</v>
      </c>
      <c r="C1598">
        <v>6</v>
      </c>
      <c r="D1598">
        <v>2185</v>
      </c>
      <c r="E1598" t="s">
        <v>2813</v>
      </c>
    </row>
    <row r="1599" spans="1:5" x14ac:dyDescent="0.35">
      <c r="A1599" t="s">
        <v>582</v>
      </c>
      <c r="B1599" t="s">
        <v>2814</v>
      </c>
      <c r="C1599">
        <v>6</v>
      </c>
      <c r="D1599">
        <v>2186</v>
      </c>
      <c r="E1599" t="s">
        <v>2815</v>
      </c>
    </row>
    <row r="1600" spans="1:5" x14ac:dyDescent="0.35">
      <c r="A1600" t="s">
        <v>582</v>
      </c>
      <c r="B1600" t="s">
        <v>2816</v>
      </c>
      <c r="C1600">
        <v>6</v>
      </c>
      <c r="D1600">
        <v>2187</v>
      </c>
      <c r="E1600" t="s">
        <v>2817</v>
      </c>
    </row>
    <row r="1601" spans="1:5" x14ac:dyDescent="0.35">
      <c r="A1601" t="s">
        <v>582</v>
      </c>
      <c r="B1601" t="s">
        <v>2818</v>
      </c>
      <c r="C1601">
        <v>6</v>
      </c>
      <c r="D1601">
        <v>2188</v>
      </c>
      <c r="E1601" t="s">
        <v>2819</v>
      </c>
    </row>
    <row r="1602" spans="1:5" x14ac:dyDescent="0.35">
      <c r="A1602" t="s">
        <v>582</v>
      </c>
      <c r="B1602" t="s">
        <v>2820</v>
      </c>
      <c r="C1602">
        <v>6</v>
      </c>
      <c r="D1602">
        <v>2189</v>
      </c>
      <c r="E1602" t="s">
        <v>2821</v>
      </c>
    </row>
    <row r="1603" spans="1:5" x14ac:dyDescent="0.35">
      <c r="A1603" t="s">
        <v>582</v>
      </c>
      <c r="B1603" t="s">
        <v>2822</v>
      </c>
      <c r="C1603">
        <v>6</v>
      </c>
      <c r="D1603">
        <v>2190</v>
      </c>
      <c r="E1603" t="s">
        <v>2823</v>
      </c>
    </row>
    <row r="1604" spans="1:5" x14ac:dyDescent="0.35">
      <c r="A1604" t="s">
        <v>582</v>
      </c>
      <c r="B1604" t="s">
        <v>2824</v>
      </c>
      <c r="C1604">
        <v>6</v>
      </c>
      <c r="D1604">
        <v>2195</v>
      </c>
      <c r="E1604" t="s">
        <v>2825</v>
      </c>
    </row>
    <row r="1605" spans="1:5" x14ac:dyDescent="0.35">
      <c r="A1605" t="s">
        <v>582</v>
      </c>
      <c r="B1605" t="s">
        <v>2826</v>
      </c>
      <c r="C1605">
        <v>6</v>
      </c>
      <c r="D1605">
        <v>2196</v>
      </c>
      <c r="E1605" t="s">
        <v>2827</v>
      </c>
    </row>
    <row r="1606" spans="1:5" x14ac:dyDescent="0.35">
      <c r="A1606" t="s">
        <v>582</v>
      </c>
      <c r="B1606" t="s">
        <v>2828</v>
      </c>
      <c r="C1606">
        <v>6</v>
      </c>
      <c r="D1606">
        <v>2286</v>
      </c>
      <c r="E1606" t="s">
        <v>2829</v>
      </c>
    </row>
    <row r="1607" spans="1:5" x14ac:dyDescent="0.35">
      <c r="A1607" t="s">
        <v>582</v>
      </c>
      <c r="B1607" t="s">
        <v>2830</v>
      </c>
      <c r="C1607">
        <v>6</v>
      </c>
      <c r="D1607">
        <v>2296</v>
      </c>
      <c r="E1607" t="s">
        <v>2831</v>
      </c>
    </row>
    <row r="1608" spans="1:5" x14ac:dyDescent="0.35">
      <c r="A1608" t="s">
        <v>582</v>
      </c>
      <c r="B1608" t="s">
        <v>2832</v>
      </c>
      <c r="C1608">
        <v>6</v>
      </c>
      <c r="D1608">
        <v>2304</v>
      </c>
      <c r="E1608" t="s">
        <v>2833</v>
      </c>
    </row>
    <row r="1609" spans="1:5" x14ac:dyDescent="0.35">
      <c r="A1609" t="s">
        <v>582</v>
      </c>
      <c r="B1609" t="s">
        <v>2834</v>
      </c>
      <c r="C1609">
        <v>6</v>
      </c>
      <c r="D1609">
        <v>2305</v>
      </c>
      <c r="E1609" t="s">
        <v>2835</v>
      </c>
    </row>
    <row r="1610" spans="1:5" x14ac:dyDescent="0.35">
      <c r="A1610" t="s">
        <v>579</v>
      </c>
      <c r="B1610" t="s">
        <v>104</v>
      </c>
      <c r="C1610">
        <v>5</v>
      </c>
      <c r="D1610">
        <v>1616</v>
      </c>
      <c r="E1610" t="s">
        <v>2836</v>
      </c>
    </row>
    <row r="1611" spans="1:5" x14ac:dyDescent="0.35">
      <c r="A1611" t="s">
        <v>582</v>
      </c>
      <c r="B1611" t="s">
        <v>106</v>
      </c>
      <c r="C1611">
        <v>6</v>
      </c>
      <c r="D1611">
        <v>1617</v>
      </c>
      <c r="E1611" t="s">
        <v>19</v>
      </c>
    </row>
    <row r="1612" spans="1:5" x14ac:dyDescent="0.35">
      <c r="A1612" t="s">
        <v>582</v>
      </c>
      <c r="B1612" t="s">
        <v>107</v>
      </c>
      <c r="C1612">
        <v>6</v>
      </c>
      <c r="D1612">
        <v>1618</v>
      </c>
      <c r="E1612" t="s">
        <v>20</v>
      </c>
    </row>
    <row r="1613" spans="1:5" x14ac:dyDescent="0.35">
      <c r="A1613" t="s">
        <v>582</v>
      </c>
      <c r="B1613" t="s">
        <v>108</v>
      </c>
      <c r="C1613">
        <v>6</v>
      </c>
      <c r="D1613">
        <v>1619</v>
      </c>
      <c r="E1613" t="s">
        <v>21</v>
      </c>
    </row>
    <row r="1614" spans="1:5" x14ac:dyDescent="0.35">
      <c r="A1614" t="s">
        <v>582</v>
      </c>
      <c r="B1614" t="s">
        <v>2837</v>
      </c>
      <c r="C1614">
        <v>6</v>
      </c>
      <c r="D1614">
        <v>1620</v>
      </c>
      <c r="E1614" t="s">
        <v>2838</v>
      </c>
    </row>
    <row r="1615" spans="1:5" x14ac:dyDescent="0.35">
      <c r="A1615" t="s">
        <v>582</v>
      </c>
      <c r="B1615" t="s">
        <v>2839</v>
      </c>
      <c r="C1615">
        <v>6</v>
      </c>
      <c r="D1615">
        <v>1881</v>
      </c>
      <c r="E1615" t="s">
        <v>2840</v>
      </c>
    </row>
    <row r="1616" spans="1:5" x14ac:dyDescent="0.35">
      <c r="A1616" t="s">
        <v>582</v>
      </c>
      <c r="B1616" t="s">
        <v>2841</v>
      </c>
      <c r="C1616">
        <v>6</v>
      </c>
      <c r="D1616">
        <v>1882</v>
      </c>
      <c r="E1616" t="s">
        <v>2842</v>
      </c>
    </row>
    <row r="1617" spans="1:5" x14ac:dyDescent="0.35">
      <c r="A1617" t="s">
        <v>582</v>
      </c>
      <c r="B1617" t="s">
        <v>2843</v>
      </c>
      <c r="C1617">
        <v>6</v>
      </c>
      <c r="D1617">
        <v>1883</v>
      </c>
      <c r="E1617" t="s">
        <v>2844</v>
      </c>
    </row>
    <row r="1618" spans="1:5" x14ac:dyDescent="0.35">
      <c r="A1618" t="s">
        <v>582</v>
      </c>
      <c r="B1618" t="s">
        <v>2845</v>
      </c>
      <c r="C1618">
        <v>6</v>
      </c>
      <c r="D1618">
        <v>1884</v>
      </c>
      <c r="E1618" t="s">
        <v>2846</v>
      </c>
    </row>
    <row r="1619" spans="1:5" x14ac:dyDescent="0.35">
      <c r="A1619" t="s">
        <v>582</v>
      </c>
      <c r="B1619" t="s">
        <v>109</v>
      </c>
      <c r="C1619">
        <v>6</v>
      </c>
      <c r="D1619">
        <v>2052</v>
      </c>
      <c r="E1619" t="s">
        <v>22</v>
      </c>
    </row>
    <row r="1620" spans="1:5" x14ac:dyDescent="0.35">
      <c r="A1620" t="s">
        <v>582</v>
      </c>
      <c r="B1620" t="s">
        <v>2847</v>
      </c>
      <c r="C1620">
        <v>6</v>
      </c>
      <c r="D1620">
        <v>2087</v>
      </c>
      <c r="E1620" t="s">
        <v>2848</v>
      </c>
    </row>
    <row r="1621" spans="1:5" x14ac:dyDescent="0.35">
      <c r="A1621" t="s">
        <v>582</v>
      </c>
      <c r="B1621" t="s">
        <v>2849</v>
      </c>
      <c r="C1621">
        <v>6</v>
      </c>
      <c r="D1621">
        <v>2088</v>
      </c>
      <c r="E1621" t="s">
        <v>706</v>
      </c>
    </row>
    <row r="1622" spans="1:5" x14ac:dyDescent="0.35">
      <c r="A1622" t="s">
        <v>582</v>
      </c>
      <c r="B1622" t="s">
        <v>2850</v>
      </c>
      <c r="C1622">
        <v>6</v>
      </c>
      <c r="D1622">
        <v>2103</v>
      </c>
      <c r="E1622" t="s">
        <v>1506</v>
      </c>
    </row>
    <row r="1623" spans="1:5" x14ac:dyDescent="0.35">
      <c r="A1623" t="s">
        <v>582</v>
      </c>
      <c r="B1623" t="s">
        <v>2851</v>
      </c>
      <c r="C1623">
        <v>6</v>
      </c>
      <c r="D1623">
        <v>2112</v>
      </c>
      <c r="E1623" t="s">
        <v>1508</v>
      </c>
    </row>
    <row r="1624" spans="1:5" x14ac:dyDescent="0.35">
      <c r="A1624" t="s">
        <v>582</v>
      </c>
      <c r="B1624" t="s">
        <v>2852</v>
      </c>
      <c r="C1624">
        <v>6</v>
      </c>
      <c r="D1624">
        <v>2287</v>
      </c>
      <c r="E1624" t="s">
        <v>2853</v>
      </c>
    </row>
    <row r="1625" spans="1:5" x14ac:dyDescent="0.35">
      <c r="A1625" t="s">
        <v>582</v>
      </c>
      <c r="B1625" t="s">
        <v>2854</v>
      </c>
      <c r="C1625">
        <v>6</v>
      </c>
      <c r="D1625">
        <v>2288</v>
      </c>
      <c r="E1625" t="s">
        <v>2855</v>
      </c>
    </row>
    <row r="1626" spans="1:5" x14ac:dyDescent="0.35">
      <c r="A1626" t="s">
        <v>582</v>
      </c>
      <c r="B1626" t="s">
        <v>2856</v>
      </c>
      <c r="C1626">
        <v>6</v>
      </c>
      <c r="D1626">
        <v>2289</v>
      </c>
      <c r="E1626" t="s">
        <v>773</v>
      </c>
    </row>
    <row r="1627" spans="1:5" x14ac:dyDescent="0.35">
      <c r="A1627" t="s">
        <v>582</v>
      </c>
      <c r="B1627" t="s">
        <v>2857</v>
      </c>
      <c r="C1627">
        <v>6</v>
      </c>
      <c r="D1627">
        <v>2175</v>
      </c>
      <c r="E1627" t="s">
        <v>671</v>
      </c>
    </row>
    <row r="1628" spans="1:5" x14ac:dyDescent="0.35">
      <c r="A1628" t="s">
        <v>582</v>
      </c>
      <c r="B1628" t="s">
        <v>2858</v>
      </c>
      <c r="C1628">
        <v>6</v>
      </c>
      <c r="D1628">
        <v>2316</v>
      </c>
      <c r="E1628" t="s">
        <v>2859</v>
      </c>
    </row>
    <row r="1629" spans="1:5" x14ac:dyDescent="0.35">
      <c r="A1629" t="s">
        <v>579</v>
      </c>
      <c r="B1629" t="s">
        <v>96</v>
      </c>
      <c r="C1629">
        <v>5</v>
      </c>
      <c r="D1629">
        <v>1621</v>
      </c>
      <c r="E1629" t="s">
        <v>97</v>
      </c>
    </row>
    <row r="1630" spans="1:5" x14ac:dyDescent="0.35">
      <c r="A1630" t="s">
        <v>582</v>
      </c>
      <c r="B1630" t="s">
        <v>2860</v>
      </c>
      <c r="C1630">
        <v>6</v>
      </c>
      <c r="D1630">
        <v>1622</v>
      </c>
      <c r="E1630" t="s">
        <v>2861</v>
      </c>
    </row>
    <row r="1631" spans="1:5" x14ac:dyDescent="0.35">
      <c r="A1631" t="s">
        <v>582</v>
      </c>
      <c r="B1631" t="s">
        <v>2862</v>
      </c>
      <c r="C1631">
        <v>6</v>
      </c>
      <c r="D1631">
        <v>1623</v>
      </c>
      <c r="E1631" t="s">
        <v>2863</v>
      </c>
    </row>
    <row r="1632" spans="1:5" x14ac:dyDescent="0.35">
      <c r="A1632" t="s">
        <v>582</v>
      </c>
      <c r="B1632" t="s">
        <v>534</v>
      </c>
      <c r="C1632">
        <v>6</v>
      </c>
      <c r="D1632">
        <v>1624</v>
      </c>
      <c r="E1632" t="s">
        <v>178</v>
      </c>
    </row>
    <row r="1633" spans="1:5" x14ac:dyDescent="0.35">
      <c r="A1633" t="s">
        <v>582</v>
      </c>
      <c r="B1633" t="s">
        <v>2864</v>
      </c>
      <c r="C1633">
        <v>6</v>
      </c>
      <c r="D1633">
        <v>1625</v>
      </c>
      <c r="E1633" t="s">
        <v>2865</v>
      </c>
    </row>
    <row r="1634" spans="1:5" x14ac:dyDescent="0.35">
      <c r="A1634" t="s">
        <v>582</v>
      </c>
      <c r="B1634" t="s">
        <v>2866</v>
      </c>
      <c r="C1634">
        <v>6</v>
      </c>
      <c r="D1634">
        <v>1626</v>
      </c>
      <c r="E1634" t="s">
        <v>2867</v>
      </c>
    </row>
    <row r="1635" spans="1:5" x14ac:dyDescent="0.35">
      <c r="A1635" t="s">
        <v>582</v>
      </c>
      <c r="B1635" t="s">
        <v>2868</v>
      </c>
      <c r="C1635">
        <v>6</v>
      </c>
      <c r="D1635">
        <v>1627</v>
      </c>
      <c r="E1635" t="s">
        <v>2754</v>
      </c>
    </row>
    <row r="1636" spans="1:5" x14ac:dyDescent="0.35">
      <c r="A1636" t="s">
        <v>582</v>
      </c>
      <c r="B1636" t="s">
        <v>103</v>
      </c>
      <c r="C1636">
        <v>6</v>
      </c>
      <c r="D1636">
        <v>1628</v>
      </c>
      <c r="E1636" t="s">
        <v>41</v>
      </c>
    </row>
    <row r="1637" spans="1:5" x14ac:dyDescent="0.35">
      <c r="A1637" t="s">
        <v>582</v>
      </c>
      <c r="B1637" t="s">
        <v>2869</v>
      </c>
      <c r="C1637">
        <v>6</v>
      </c>
      <c r="D1637">
        <v>1629</v>
      </c>
      <c r="E1637" t="s">
        <v>2870</v>
      </c>
    </row>
    <row r="1638" spans="1:5" x14ac:dyDescent="0.35">
      <c r="A1638" t="s">
        <v>579</v>
      </c>
      <c r="B1638" t="s">
        <v>110</v>
      </c>
      <c r="C1638">
        <v>5</v>
      </c>
      <c r="D1638">
        <v>392</v>
      </c>
      <c r="E1638" t="s">
        <v>111</v>
      </c>
    </row>
    <row r="1639" spans="1:5" x14ac:dyDescent="0.35">
      <c r="A1639" t="s">
        <v>582</v>
      </c>
      <c r="B1639" t="s">
        <v>112</v>
      </c>
      <c r="C1639">
        <v>6</v>
      </c>
      <c r="D1639">
        <v>1630</v>
      </c>
      <c r="E1639" t="s">
        <v>40</v>
      </c>
    </row>
    <row r="1640" spans="1:5" x14ac:dyDescent="0.35">
      <c r="A1640" t="s">
        <v>582</v>
      </c>
      <c r="B1640" t="s">
        <v>537</v>
      </c>
      <c r="C1640">
        <v>6</v>
      </c>
      <c r="D1640">
        <v>1631</v>
      </c>
      <c r="E1640" t="s">
        <v>38</v>
      </c>
    </row>
    <row r="1641" spans="1:5" x14ac:dyDescent="0.35">
      <c r="A1641" t="s">
        <v>582</v>
      </c>
      <c r="B1641" t="s">
        <v>2871</v>
      </c>
      <c r="C1641">
        <v>6</v>
      </c>
      <c r="D1641">
        <v>1632</v>
      </c>
      <c r="E1641" t="s">
        <v>2529</v>
      </c>
    </row>
    <row r="1642" spans="1:5" x14ac:dyDescent="0.35">
      <c r="A1642" t="s">
        <v>582</v>
      </c>
      <c r="B1642" t="s">
        <v>2872</v>
      </c>
      <c r="C1642">
        <v>6</v>
      </c>
      <c r="D1642">
        <v>1633</v>
      </c>
      <c r="E1642" t="s">
        <v>2873</v>
      </c>
    </row>
    <row r="1643" spans="1:5" x14ac:dyDescent="0.35">
      <c r="A1643" t="s">
        <v>582</v>
      </c>
      <c r="B1643" t="s">
        <v>2874</v>
      </c>
      <c r="C1643">
        <v>6</v>
      </c>
      <c r="D1643">
        <v>1634</v>
      </c>
      <c r="E1643" t="s">
        <v>2875</v>
      </c>
    </row>
    <row r="1644" spans="1:5" x14ac:dyDescent="0.35">
      <c r="A1644" t="s">
        <v>582</v>
      </c>
      <c r="B1644" t="s">
        <v>2876</v>
      </c>
      <c r="C1644">
        <v>6</v>
      </c>
      <c r="D1644">
        <v>1635</v>
      </c>
      <c r="E1644" t="s">
        <v>2877</v>
      </c>
    </row>
    <row r="1645" spans="1:5" x14ac:dyDescent="0.35">
      <c r="A1645" t="s">
        <v>582</v>
      </c>
      <c r="B1645" t="s">
        <v>2878</v>
      </c>
      <c r="C1645">
        <v>6</v>
      </c>
      <c r="D1645">
        <v>1636</v>
      </c>
      <c r="E1645" t="s">
        <v>2879</v>
      </c>
    </row>
    <row r="1646" spans="1:5" x14ac:dyDescent="0.35">
      <c r="A1646" t="s">
        <v>582</v>
      </c>
      <c r="B1646" t="s">
        <v>2880</v>
      </c>
      <c r="C1646">
        <v>6</v>
      </c>
      <c r="D1646">
        <v>2290</v>
      </c>
      <c r="E1646" t="s">
        <v>2881</v>
      </c>
    </row>
    <row r="1647" spans="1:5" x14ac:dyDescent="0.35">
      <c r="A1647" t="s">
        <v>579</v>
      </c>
      <c r="B1647" t="s">
        <v>2882</v>
      </c>
      <c r="C1647">
        <v>5</v>
      </c>
      <c r="D1647">
        <v>374</v>
      </c>
      <c r="E1647" t="s">
        <v>2883</v>
      </c>
    </row>
    <row r="1648" spans="1:5" x14ac:dyDescent="0.35">
      <c r="A1648" t="s">
        <v>582</v>
      </c>
      <c r="B1648" t="s">
        <v>2884</v>
      </c>
      <c r="C1648">
        <v>6</v>
      </c>
      <c r="D1648">
        <v>1637</v>
      </c>
      <c r="E1648" t="s">
        <v>2885</v>
      </c>
    </row>
    <row r="1649" spans="1:5" x14ac:dyDescent="0.35">
      <c r="A1649" t="s">
        <v>582</v>
      </c>
      <c r="B1649" t="s">
        <v>2886</v>
      </c>
      <c r="C1649">
        <v>6</v>
      </c>
      <c r="D1649">
        <v>2291</v>
      </c>
      <c r="E1649" t="s">
        <v>2887</v>
      </c>
    </row>
    <row r="1650" spans="1:5" x14ac:dyDescent="0.35">
      <c r="A1650" t="s">
        <v>579</v>
      </c>
      <c r="B1650" t="s">
        <v>2888</v>
      </c>
      <c r="C1650">
        <v>5</v>
      </c>
      <c r="D1650">
        <v>2207</v>
      </c>
      <c r="E1650" t="s">
        <v>2889</v>
      </c>
    </row>
    <row r="1651" spans="1:5" x14ac:dyDescent="0.35">
      <c r="A1651" t="s">
        <v>582</v>
      </c>
      <c r="B1651" t="s">
        <v>2890</v>
      </c>
      <c r="C1651">
        <v>6</v>
      </c>
      <c r="D1651">
        <v>2208</v>
      </c>
      <c r="E1651" t="s">
        <v>2891</v>
      </c>
    </row>
    <row r="1652" spans="1:5" x14ac:dyDescent="0.35">
      <c r="A1652" t="s">
        <v>582</v>
      </c>
      <c r="B1652" t="s">
        <v>2892</v>
      </c>
      <c r="C1652">
        <v>6</v>
      </c>
      <c r="D1652">
        <v>2209</v>
      </c>
      <c r="E1652" t="s">
        <v>2893</v>
      </c>
    </row>
    <row r="1653" spans="1:5" x14ac:dyDescent="0.35">
      <c r="A1653" t="s">
        <v>579</v>
      </c>
      <c r="B1653" t="s">
        <v>2894</v>
      </c>
      <c r="C1653">
        <v>2</v>
      </c>
      <c r="D1653">
        <v>1638</v>
      </c>
      <c r="E1653" t="s">
        <v>2895</v>
      </c>
    </row>
    <row r="1654" spans="1:5" x14ac:dyDescent="0.35">
      <c r="A1654" t="s">
        <v>579</v>
      </c>
      <c r="B1654" t="s">
        <v>2896</v>
      </c>
      <c r="C1654">
        <v>3</v>
      </c>
      <c r="D1654">
        <v>1639</v>
      </c>
      <c r="E1654" t="s">
        <v>2897</v>
      </c>
    </row>
    <row r="1655" spans="1:5" x14ac:dyDescent="0.35">
      <c r="A1655" t="s">
        <v>579</v>
      </c>
      <c r="B1655" t="s">
        <v>2898</v>
      </c>
      <c r="C1655">
        <v>4</v>
      </c>
      <c r="D1655">
        <v>1640</v>
      </c>
      <c r="E1655" t="s">
        <v>2899</v>
      </c>
    </row>
    <row r="1656" spans="1:5" x14ac:dyDescent="0.35">
      <c r="A1656" t="s">
        <v>579</v>
      </c>
      <c r="B1656" t="s">
        <v>2900</v>
      </c>
      <c r="C1656">
        <v>5</v>
      </c>
      <c r="D1656">
        <v>1641</v>
      </c>
      <c r="E1656" t="s">
        <v>2901</v>
      </c>
    </row>
    <row r="1657" spans="1:5" x14ac:dyDescent="0.35">
      <c r="A1657" t="s">
        <v>582</v>
      </c>
      <c r="B1657" t="s">
        <v>2902</v>
      </c>
      <c r="C1657">
        <v>6</v>
      </c>
      <c r="D1657">
        <v>1642</v>
      </c>
      <c r="E1657" t="s">
        <v>15</v>
      </c>
    </row>
    <row r="1658" spans="1:5" x14ac:dyDescent="0.35">
      <c r="A1658" t="s">
        <v>582</v>
      </c>
      <c r="B1658" t="s">
        <v>2903</v>
      </c>
      <c r="C1658">
        <v>6</v>
      </c>
      <c r="D1658">
        <v>1643</v>
      </c>
      <c r="E1658" t="s">
        <v>19</v>
      </c>
    </row>
    <row r="1659" spans="1:5" x14ac:dyDescent="0.35">
      <c r="A1659" t="s">
        <v>582</v>
      </c>
      <c r="B1659" t="s">
        <v>2904</v>
      </c>
      <c r="C1659">
        <v>6</v>
      </c>
      <c r="D1659">
        <v>1644</v>
      </c>
      <c r="E1659" t="s">
        <v>20</v>
      </c>
    </row>
    <row r="1660" spans="1:5" x14ac:dyDescent="0.35">
      <c r="A1660" t="s">
        <v>582</v>
      </c>
      <c r="B1660" t="s">
        <v>2905</v>
      </c>
      <c r="C1660">
        <v>6</v>
      </c>
      <c r="D1660">
        <v>1645</v>
      </c>
      <c r="E1660" t="s">
        <v>2698</v>
      </c>
    </row>
    <row r="1661" spans="1:5" x14ac:dyDescent="0.35">
      <c r="A1661" t="s">
        <v>582</v>
      </c>
      <c r="B1661" t="s">
        <v>2906</v>
      </c>
      <c r="C1661">
        <v>6</v>
      </c>
      <c r="D1661">
        <v>1646</v>
      </c>
      <c r="E1661" t="s">
        <v>2907</v>
      </c>
    </row>
    <row r="1662" spans="1:5" x14ac:dyDescent="0.35">
      <c r="A1662" t="s">
        <v>582</v>
      </c>
      <c r="B1662" t="s">
        <v>2908</v>
      </c>
      <c r="C1662">
        <v>6</v>
      </c>
      <c r="D1662">
        <v>1647</v>
      </c>
      <c r="E1662" t="s">
        <v>2909</v>
      </c>
    </row>
    <row r="1663" spans="1:5" x14ac:dyDescent="0.35">
      <c r="A1663" t="s">
        <v>582</v>
      </c>
      <c r="B1663" t="s">
        <v>2910</v>
      </c>
      <c r="C1663">
        <v>6</v>
      </c>
      <c r="D1663">
        <v>1648</v>
      </c>
      <c r="E1663" t="s">
        <v>2911</v>
      </c>
    </row>
    <row r="1664" spans="1:5" x14ac:dyDescent="0.35">
      <c r="A1664" t="s">
        <v>582</v>
      </c>
      <c r="B1664" t="s">
        <v>2912</v>
      </c>
      <c r="C1664">
        <v>6</v>
      </c>
      <c r="D1664">
        <v>1649</v>
      </c>
      <c r="E1664" t="s">
        <v>2700</v>
      </c>
    </row>
    <row r="1665" spans="1:5" x14ac:dyDescent="0.35">
      <c r="A1665" t="s">
        <v>582</v>
      </c>
      <c r="B1665" t="s">
        <v>2913</v>
      </c>
      <c r="C1665">
        <v>6</v>
      </c>
      <c r="D1665">
        <v>1650</v>
      </c>
      <c r="E1665" t="s">
        <v>18</v>
      </c>
    </row>
    <row r="1666" spans="1:5" x14ac:dyDescent="0.35">
      <c r="A1666" t="s">
        <v>582</v>
      </c>
      <c r="B1666" t="s">
        <v>2914</v>
      </c>
      <c r="C1666">
        <v>6</v>
      </c>
      <c r="D1666">
        <v>1651</v>
      </c>
      <c r="E1666" t="s">
        <v>2702</v>
      </c>
    </row>
    <row r="1667" spans="1:5" x14ac:dyDescent="0.35">
      <c r="A1667" t="s">
        <v>582</v>
      </c>
      <c r="B1667" t="s">
        <v>2915</v>
      </c>
      <c r="C1667">
        <v>6</v>
      </c>
      <c r="D1667">
        <v>1652</v>
      </c>
      <c r="E1667" t="s">
        <v>2916</v>
      </c>
    </row>
    <row r="1668" spans="1:5" x14ac:dyDescent="0.35">
      <c r="A1668" t="s">
        <v>582</v>
      </c>
      <c r="B1668" t="s">
        <v>2917</v>
      </c>
      <c r="C1668">
        <v>6</v>
      </c>
      <c r="D1668">
        <v>1653</v>
      </c>
      <c r="E1668" t="s">
        <v>160</v>
      </c>
    </row>
    <row r="1669" spans="1:5" x14ac:dyDescent="0.35">
      <c r="A1669" t="s">
        <v>582</v>
      </c>
      <c r="B1669" t="s">
        <v>2918</v>
      </c>
      <c r="C1669">
        <v>6</v>
      </c>
      <c r="D1669">
        <v>1654</v>
      </c>
      <c r="E1669" t="s">
        <v>2704</v>
      </c>
    </row>
    <row r="1670" spans="1:5" x14ac:dyDescent="0.35">
      <c r="A1670" t="s">
        <v>582</v>
      </c>
      <c r="B1670" t="s">
        <v>2919</v>
      </c>
      <c r="C1670">
        <v>6</v>
      </c>
      <c r="D1670">
        <v>1655</v>
      </c>
      <c r="E1670" t="s">
        <v>2920</v>
      </c>
    </row>
    <row r="1671" spans="1:5" x14ac:dyDescent="0.35">
      <c r="A1671" t="s">
        <v>582</v>
      </c>
      <c r="B1671" t="s">
        <v>2921</v>
      </c>
      <c r="C1671">
        <v>6</v>
      </c>
      <c r="D1671">
        <v>1656</v>
      </c>
      <c r="E1671" t="s">
        <v>2922</v>
      </c>
    </row>
    <row r="1672" spans="1:5" x14ac:dyDescent="0.35">
      <c r="A1672" t="s">
        <v>582</v>
      </c>
      <c r="B1672" t="s">
        <v>2923</v>
      </c>
      <c r="C1672">
        <v>6</v>
      </c>
      <c r="D1672">
        <v>1657</v>
      </c>
      <c r="E1672" t="s">
        <v>14</v>
      </c>
    </row>
    <row r="1673" spans="1:5" x14ac:dyDescent="0.35">
      <c r="A1673" t="s">
        <v>582</v>
      </c>
      <c r="B1673" t="s">
        <v>2924</v>
      </c>
      <c r="C1673">
        <v>6</v>
      </c>
      <c r="D1673">
        <v>1658</v>
      </c>
      <c r="E1673" t="s">
        <v>2925</v>
      </c>
    </row>
    <row r="1674" spans="1:5" x14ac:dyDescent="0.35">
      <c r="A1674" t="s">
        <v>582</v>
      </c>
      <c r="B1674" t="s">
        <v>2926</v>
      </c>
      <c r="C1674">
        <v>6</v>
      </c>
      <c r="D1674">
        <v>1659</v>
      </c>
      <c r="E1674" t="s">
        <v>13</v>
      </c>
    </row>
    <row r="1675" spans="1:5" x14ac:dyDescent="0.35">
      <c r="A1675" t="s">
        <v>582</v>
      </c>
      <c r="B1675" t="s">
        <v>2927</v>
      </c>
      <c r="C1675">
        <v>6</v>
      </c>
      <c r="D1675">
        <v>1660</v>
      </c>
      <c r="E1675" t="s">
        <v>17</v>
      </c>
    </row>
    <row r="1676" spans="1:5" x14ac:dyDescent="0.35">
      <c r="A1676" t="s">
        <v>582</v>
      </c>
      <c r="B1676" t="s">
        <v>2928</v>
      </c>
      <c r="C1676">
        <v>6</v>
      </c>
      <c r="D1676">
        <v>2122</v>
      </c>
      <c r="E1676" t="s">
        <v>161</v>
      </c>
    </row>
    <row r="1677" spans="1:5" x14ac:dyDescent="0.35">
      <c r="A1677" t="s">
        <v>579</v>
      </c>
      <c r="B1677" t="s">
        <v>2929</v>
      </c>
      <c r="C1677">
        <v>5</v>
      </c>
      <c r="D1677">
        <v>1661</v>
      </c>
      <c r="E1677" t="s">
        <v>81</v>
      </c>
    </row>
    <row r="1678" spans="1:5" x14ac:dyDescent="0.35">
      <c r="A1678" t="s">
        <v>582</v>
      </c>
      <c r="B1678" t="s">
        <v>2930</v>
      </c>
      <c r="C1678">
        <v>6</v>
      </c>
      <c r="D1678">
        <v>1662</v>
      </c>
      <c r="E1678" t="s">
        <v>2931</v>
      </c>
    </row>
    <row r="1679" spans="1:5" x14ac:dyDescent="0.35">
      <c r="A1679" t="s">
        <v>582</v>
      </c>
      <c r="B1679" t="s">
        <v>2932</v>
      </c>
      <c r="C1679">
        <v>6</v>
      </c>
      <c r="D1679">
        <v>1663</v>
      </c>
      <c r="E1679" t="s">
        <v>2933</v>
      </c>
    </row>
    <row r="1680" spans="1:5" x14ac:dyDescent="0.35">
      <c r="A1680" t="s">
        <v>582</v>
      </c>
      <c r="B1680" t="s">
        <v>2934</v>
      </c>
      <c r="C1680">
        <v>6</v>
      </c>
      <c r="D1680">
        <v>1664</v>
      </c>
      <c r="E1680" t="s">
        <v>2714</v>
      </c>
    </row>
    <row r="1681" spans="1:5" x14ac:dyDescent="0.35">
      <c r="A1681" t="s">
        <v>582</v>
      </c>
      <c r="B1681" t="s">
        <v>2935</v>
      </c>
      <c r="C1681">
        <v>6</v>
      </c>
      <c r="D1681">
        <v>1665</v>
      </c>
      <c r="E1681" t="s">
        <v>2716</v>
      </c>
    </row>
    <row r="1682" spans="1:5" x14ac:dyDescent="0.35">
      <c r="A1682" t="s">
        <v>582</v>
      </c>
      <c r="B1682" t="s">
        <v>2936</v>
      </c>
      <c r="C1682">
        <v>6</v>
      </c>
      <c r="D1682">
        <v>1666</v>
      </c>
      <c r="E1682" t="s">
        <v>2718</v>
      </c>
    </row>
    <row r="1683" spans="1:5" x14ac:dyDescent="0.35">
      <c r="A1683" t="s">
        <v>582</v>
      </c>
      <c r="B1683" t="s">
        <v>2937</v>
      </c>
      <c r="C1683">
        <v>6</v>
      </c>
      <c r="D1683">
        <v>1667</v>
      </c>
      <c r="E1683" t="s">
        <v>2720</v>
      </c>
    </row>
    <row r="1684" spans="1:5" x14ac:dyDescent="0.35">
      <c r="A1684" t="s">
        <v>582</v>
      </c>
      <c r="B1684" t="s">
        <v>2938</v>
      </c>
      <c r="C1684">
        <v>6</v>
      </c>
      <c r="D1684">
        <v>1937</v>
      </c>
      <c r="E1684" t="s">
        <v>2611</v>
      </c>
    </row>
    <row r="1685" spans="1:5" x14ac:dyDescent="0.35">
      <c r="A1685" t="s">
        <v>582</v>
      </c>
      <c r="B1685" t="s">
        <v>2939</v>
      </c>
      <c r="C1685">
        <v>6</v>
      </c>
      <c r="D1685">
        <v>2142</v>
      </c>
      <c r="E1685" t="s">
        <v>82</v>
      </c>
    </row>
    <row r="1686" spans="1:5" x14ac:dyDescent="0.35">
      <c r="A1686" t="s">
        <v>582</v>
      </c>
      <c r="B1686" t="s">
        <v>2940</v>
      </c>
      <c r="C1686">
        <v>6</v>
      </c>
      <c r="D1686">
        <v>2143</v>
      </c>
      <c r="E1686" t="s">
        <v>2723</v>
      </c>
    </row>
    <row r="1687" spans="1:5" x14ac:dyDescent="0.35">
      <c r="A1687" t="s">
        <v>582</v>
      </c>
      <c r="B1687" t="s">
        <v>2941</v>
      </c>
      <c r="C1687">
        <v>6</v>
      </c>
      <c r="D1687">
        <v>2144</v>
      </c>
      <c r="E1687" t="s">
        <v>2725</v>
      </c>
    </row>
    <row r="1688" spans="1:5" x14ac:dyDescent="0.35">
      <c r="A1688" t="s">
        <v>582</v>
      </c>
      <c r="B1688" t="s">
        <v>2942</v>
      </c>
      <c r="C1688">
        <v>6</v>
      </c>
      <c r="D1688">
        <v>2145</v>
      </c>
      <c r="E1688" t="s">
        <v>2727</v>
      </c>
    </row>
    <row r="1689" spans="1:5" x14ac:dyDescent="0.35">
      <c r="A1689" t="s">
        <v>582</v>
      </c>
      <c r="B1689" t="s">
        <v>2943</v>
      </c>
      <c r="C1689">
        <v>6</v>
      </c>
      <c r="D1689">
        <v>2146</v>
      </c>
      <c r="E1689" t="s">
        <v>2729</v>
      </c>
    </row>
    <row r="1690" spans="1:5" x14ac:dyDescent="0.35">
      <c r="A1690" t="s">
        <v>582</v>
      </c>
      <c r="B1690" t="s">
        <v>2944</v>
      </c>
      <c r="C1690">
        <v>6</v>
      </c>
      <c r="D1690">
        <v>2147</v>
      </c>
      <c r="E1690" t="s">
        <v>2731</v>
      </c>
    </row>
    <row r="1691" spans="1:5" x14ac:dyDescent="0.35">
      <c r="A1691" t="s">
        <v>582</v>
      </c>
      <c r="B1691" t="s">
        <v>2945</v>
      </c>
      <c r="C1691">
        <v>6</v>
      </c>
      <c r="D1691">
        <v>2148</v>
      </c>
      <c r="E1691" t="s">
        <v>83</v>
      </c>
    </row>
    <row r="1692" spans="1:5" x14ac:dyDescent="0.35">
      <c r="A1692" t="s">
        <v>582</v>
      </c>
      <c r="B1692" t="s">
        <v>2946</v>
      </c>
      <c r="C1692">
        <v>6</v>
      </c>
      <c r="D1692">
        <v>2149</v>
      </c>
      <c r="E1692" t="s">
        <v>2733</v>
      </c>
    </row>
    <row r="1693" spans="1:5" x14ac:dyDescent="0.35">
      <c r="A1693" t="s">
        <v>582</v>
      </c>
      <c r="B1693" t="s">
        <v>2947</v>
      </c>
      <c r="C1693">
        <v>6</v>
      </c>
      <c r="D1693">
        <v>2150</v>
      </c>
      <c r="E1693" t="s">
        <v>2735</v>
      </c>
    </row>
    <row r="1694" spans="1:5" x14ac:dyDescent="0.35">
      <c r="A1694" t="s">
        <v>582</v>
      </c>
      <c r="B1694" t="s">
        <v>2948</v>
      </c>
      <c r="C1694">
        <v>6</v>
      </c>
      <c r="D1694">
        <v>2151</v>
      </c>
      <c r="E1694" t="s">
        <v>29</v>
      </c>
    </row>
    <row r="1695" spans="1:5" x14ac:dyDescent="0.35">
      <c r="A1695" t="s">
        <v>582</v>
      </c>
      <c r="B1695" t="s">
        <v>2949</v>
      </c>
      <c r="C1695">
        <v>6</v>
      </c>
      <c r="D1695">
        <v>2152</v>
      </c>
      <c r="E1695" t="s">
        <v>171</v>
      </c>
    </row>
    <row r="1696" spans="1:5" x14ac:dyDescent="0.35">
      <c r="A1696" t="s">
        <v>582</v>
      </c>
      <c r="B1696" t="s">
        <v>2950</v>
      </c>
      <c r="C1696">
        <v>6</v>
      </c>
      <c r="D1696">
        <v>2153</v>
      </c>
      <c r="E1696" t="s">
        <v>168</v>
      </c>
    </row>
    <row r="1697" spans="1:5" x14ac:dyDescent="0.35">
      <c r="A1697" t="s">
        <v>582</v>
      </c>
      <c r="B1697" t="s">
        <v>2951</v>
      </c>
      <c r="C1697">
        <v>6</v>
      </c>
      <c r="D1697">
        <v>2154</v>
      </c>
      <c r="E1697" t="s">
        <v>28</v>
      </c>
    </row>
    <row r="1698" spans="1:5" x14ac:dyDescent="0.35">
      <c r="A1698" t="s">
        <v>579</v>
      </c>
      <c r="B1698" t="s">
        <v>2952</v>
      </c>
      <c r="C1698">
        <v>5</v>
      </c>
      <c r="D1698">
        <v>1668</v>
      </c>
      <c r="E1698" t="s">
        <v>2953</v>
      </c>
    </row>
    <row r="1699" spans="1:5" x14ac:dyDescent="0.35">
      <c r="A1699" t="s">
        <v>582</v>
      </c>
      <c r="B1699" t="s">
        <v>2954</v>
      </c>
      <c r="C1699">
        <v>6</v>
      </c>
      <c r="D1699">
        <v>1669</v>
      </c>
      <c r="E1699" t="s">
        <v>2955</v>
      </c>
    </row>
    <row r="1700" spans="1:5" x14ac:dyDescent="0.35">
      <c r="A1700" t="s">
        <v>582</v>
      </c>
      <c r="B1700" t="s">
        <v>2956</v>
      </c>
      <c r="C1700">
        <v>6</v>
      </c>
      <c r="D1700">
        <v>1670</v>
      </c>
      <c r="E1700" t="s">
        <v>26</v>
      </c>
    </row>
    <row r="1701" spans="1:5" x14ac:dyDescent="0.35">
      <c r="A1701" t="s">
        <v>582</v>
      </c>
      <c r="B1701" t="s">
        <v>2957</v>
      </c>
      <c r="C1701">
        <v>6</v>
      </c>
      <c r="D1701">
        <v>1671</v>
      </c>
      <c r="E1701" t="s">
        <v>2742</v>
      </c>
    </row>
    <row r="1702" spans="1:5" x14ac:dyDescent="0.35">
      <c r="A1702" t="s">
        <v>582</v>
      </c>
      <c r="B1702" t="s">
        <v>2958</v>
      </c>
      <c r="C1702">
        <v>6</v>
      </c>
      <c r="D1702">
        <v>1672</v>
      </c>
      <c r="E1702" t="s">
        <v>2959</v>
      </c>
    </row>
    <row r="1703" spans="1:5" x14ac:dyDescent="0.35">
      <c r="A1703" t="s">
        <v>582</v>
      </c>
      <c r="B1703" t="s">
        <v>2960</v>
      </c>
      <c r="C1703">
        <v>6</v>
      </c>
      <c r="D1703">
        <v>1673</v>
      </c>
      <c r="E1703" t="s">
        <v>2961</v>
      </c>
    </row>
    <row r="1704" spans="1:5" x14ac:dyDescent="0.35">
      <c r="A1704" t="s">
        <v>582</v>
      </c>
      <c r="B1704" t="s">
        <v>2962</v>
      </c>
      <c r="C1704">
        <v>6</v>
      </c>
      <c r="D1704">
        <v>1674</v>
      </c>
      <c r="E1704" t="s">
        <v>2744</v>
      </c>
    </row>
    <row r="1705" spans="1:5" x14ac:dyDescent="0.35">
      <c r="A1705" t="s">
        <v>582</v>
      </c>
      <c r="B1705" t="s">
        <v>2963</v>
      </c>
      <c r="C1705">
        <v>6</v>
      </c>
      <c r="D1705">
        <v>1675</v>
      </c>
      <c r="E1705" t="s">
        <v>163</v>
      </c>
    </row>
    <row r="1706" spans="1:5" x14ac:dyDescent="0.35">
      <c r="A1706" t="s">
        <v>582</v>
      </c>
      <c r="B1706" t="s">
        <v>2964</v>
      </c>
      <c r="C1706">
        <v>6</v>
      </c>
      <c r="D1706">
        <v>1676</v>
      </c>
      <c r="E1706" t="s">
        <v>24</v>
      </c>
    </row>
    <row r="1707" spans="1:5" x14ac:dyDescent="0.35">
      <c r="A1707" t="s">
        <v>582</v>
      </c>
      <c r="B1707" t="s">
        <v>2965</v>
      </c>
      <c r="C1707">
        <v>6</v>
      </c>
      <c r="D1707">
        <v>1677</v>
      </c>
      <c r="E1707" t="s">
        <v>2966</v>
      </c>
    </row>
    <row r="1708" spans="1:5" x14ac:dyDescent="0.35">
      <c r="A1708" t="s">
        <v>582</v>
      </c>
      <c r="B1708" t="s">
        <v>2967</v>
      </c>
      <c r="C1708">
        <v>6</v>
      </c>
      <c r="D1708">
        <v>1678</v>
      </c>
      <c r="E1708" t="s">
        <v>167</v>
      </c>
    </row>
    <row r="1709" spans="1:5" x14ac:dyDescent="0.35">
      <c r="A1709" t="s">
        <v>579</v>
      </c>
      <c r="B1709" t="s">
        <v>2968</v>
      </c>
      <c r="C1709">
        <v>5</v>
      </c>
      <c r="D1709">
        <v>1679</v>
      </c>
      <c r="E1709" t="s">
        <v>95</v>
      </c>
    </row>
    <row r="1710" spans="1:5" x14ac:dyDescent="0.35">
      <c r="A1710" t="s">
        <v>582</v>
      </c>
      <c r="B1710" t="s">
        <v>2969</v>
      </c>
      <c r="C1710">
        <v>6</v>
      </c>
      <c r="D1710">
        <v>1680</v>
      </c>
      <c r="E1710" t="s">
        <v>35</v>
      </c>
    </row>
    <row r="1711" spans="1:5" x14ac:dyDescent="0.35">
      <c r="A1711" t="s">
        <v>582</v>
      </c>
      <c r="B1711" t="s">
        <v>2970</v>
      </c>
      <c r="C1711">
        <v>6</v>
      </c>
      <c r="D1711">
        <v>1681</v>
      </c>
      <c r="E1711" t="s">
        <v>31</v>
      </c>
    </row>
    <row r="1712" spans="1:5" x14ac:dyDescent="0.35">
      <c r="A1712" t="s">
        <v>582</v>
      </c>
      <c r="B1712" t="s">
        <v>2971</v>
      </c>
      <c r="C1712">
        <v>6</v>
      </c>
      <c r="D1712">
        <v>1682</v>
      </c>
      <c r="E1712" t="s">
        <v>36</v>
      </c>
    </row>
    <row r="1713" spans="1:5" x14ac:dyDescent="0.35">
      <c r="A1713" t="s">
        <v>582</v>
      </c>
      <c r="B1713" t="s">
        <v>2972</v>
      </c>
      <c r="C1713">
        <v>6</v>
      </c>
      <c r="D1713">
        <v>1683</v>
      </c>
      <c r="E1713" t="s">
        <v>2973</v>
      </c>
    </row>
    <row r="1714" spans="1:5" x14ac:dyDescent="0.35">
      <c r="A1714" t="s">
        <v>582</v>
      </c>
      <c r="B1714" t="s">
        <v>2974</v>
      </c>
      <c r="C1714">
        <v>6</v>
      </c>
      <c r="D1714">
        <v>1684</v>
      </c>
      <c r="E1714" t="s">
        <v>2763</v>
      </c>
    </row>
    <row r="1715" spans="1:5" x14ac:dyDescent="0.35">
      <c r="A1715" t="s">
        <v>582</v>
      </c>
      <c r="B1715" t="s">
        <v>2975</v>
      </c>
      <c r="C1715">
        <v>6</v>
      </c>
      <c r="D1715">
        <v>1685</v>
      </c>
      <c r="E1715" t="s">
        <v>2765</v>
      </c>
    </row>
    <row r="1716" spans="1:5" x14ac:dyDescent="0.35">
      <c r="A1716" t="s">
        <v>582</v>
      </c>
      <c r="B1716" t="s">
        <v>2976</v>
      </c>
      <c r="C1716">
        <v>6</v>
      </c>
      <c r="D1716">
        <v>1686</v>
      </c>
      <c r="E1716" t="s">
        <v>39</v>
      </c>
    </row>
    <row r="1717" spans="1:5" x14ac:dyDescent="0.35">
      <c r="A1717" t="s">
        <v>582</v>
      </c>
      <c r="B1717" t="s">
        <v>2977</v>
      </c>
      <c r="C1717">
        <v>6</v>
      </c>
      <c r="D1717">
        <v>1687</v>
      </c>
      <c r="E1717" t="s">
        <v>2978</v>
      </c>
    </row>
    <row r="1718" spans="1:5" x14ac:dyDescent="0.35">
      <c r="A1718" t="s">
        <v>582</v>
      </c>
      <c r="B1718" t="s">
        <v>2979</v>
      </c>
      <c r="C1718">
        <v>6</v>
      </c>
      <c r="D1718">
        <v>1688</v>
      </c>
      <c r="E1718" t="s">
        <v>2769</v>
      </c>
    </row>
    <row r="1719" spans="1:5" x14ac:dyDescent="0.35">
      <c r="A1719" t="s">
        <v>582</v>
      </c>
      <c r="B1719" t="s">
        <v>2980</v>
      </c>
      <c r="C1719">
        <v>6</v>
      </c>
      <c r="D1719">
        <v>1689</v>
      </c>
      <c r="E1719" t="s">
        <v>34</v>
      </c>
    </row>
    <row r="1720" spans="1:5" x14ac:dyDescent="0.35">
      <c r="A1720" t="s">
        <v>582</v>
      </c>
      <c r="B1720" t="s">
        <v>2981</v>
      </c>
      <c r="C1720">
        <v>6</v>
      </c>
      <c r="D1720">
        <v>1690</v>
      </c>
      <c r="E1720" t="s">
        <v>520</v>
      </c>
    </row>
    <row r="1721" spans="1:5" x14ac:dyDescent="0.35">
      <c r="A1721" t="s">
        <v>582</v>
      </c>
      <c r="B1721" t="s">
        <v>2982</v>
      </c>
      <c r="C1721">
        <v>6</v>
      </c>
      <c r="D1721">
        <v>1691</v>
      </c>
      <c r="E1721" t="s">
        <v>2771</v>
      </c>
    </row>
    <row r="1722" spans="1:5" x14ac:dyDescent="0.35">
      <c r="A1722" t="s">
        <v>582</v>
      </c>
      <c r="B1722" t="s">
        <v>2983</v>
      </c>
      <c r="C1722">
        <v>6</v>
      </c>
      <c r="D1722">
        <v>1692</v>
      </c>
      <c r="E1722" t="s">
        <v>522</v>
      </c>
    </row>
    <row r="1723" spans="1:5" x14ac:dyDescent="0.35">
      <c r="A1723" t="s">
        <v>582</v>
      </c>
      <c r="B1723" t="s">
        <v>2984</v>
      </c>
      <c r="C1723">
        <v>6</v>
      </c>
      <c r="D1723">
        <v>1693</v>
      </c>
      <c r="E1723" t="s">
        <v>524</v>
      </c>
    </row>
    <row r="1724" spans="1:5" x14ac:dyDescent="0.35">
      <c r="A1724" t="s">
        <v>582</v>
      </c>
      <c r="B1724" t="s">
        <v>2985</v>
      </c>
      <c r="C1724">
        <v>6</v>
      </c>
      <c r="D1724">
        <v>1694</v>
      </c>
      <c r="E1724" t="s">
        <v>2773</v>
      </c>
    </row>
    <row r="1725" spans="1:5" x14ac:dyDescent="0.35">
      <c r="A1725" t="s">
        <v>582</v>
      </c>
      <c r="B1725" t="s">
        <v>2986</v>
      </c>
      <c r="C1725">
        <v>6</v>
      </c>
      <c r="D1725">
        <v>1695</v>
      </c>
      <c r="E1725" t="s">
        <v>2775</v>
      </c>
    </row>
    <row r="1726" spans="1:5" x14ac:dyDescent="0.35">
      <c r="A1726" t="s">
        <v>582</v>
      </c>
      <c r="B1726" t="s">
        <v>2987</v>
      </c>
      <c r="C1726">
        <v>6</v>
      </c>
      <c r="D1726">
        <v>1696</v>
      </c>
      <c r="E1726" t="s">
        <v>1059</v>
      </c>
    </row>
    <row r="1727" spans="1:5" x14ac:dyDescent="0.35">
      <c r="A1727" t="s">
        <v>582</v>
      </c>
      <c r="B1727" t="s">
        <v>2988</v>
      </c>
      <c r="C1727">
        <v>6</v>
      </c>
      <c r="D1727">
        <v>1697</v>
      </c>
      <c r="E1727" t="s">
        <v>2989</v>
      </c>
    </row>
    <row r="1728" spans="1:5" x14ac:dyDescent="0.35">
      <c r="A1728" t="s">
        <v>582</v>
      </c>
      <c r="B1728" t="s">
        <v>2990</v>
      </c>
      <c r="C1728">
        <v>6</v>
      </c>
      <c r="D1728">
        <v>1885</v>
      </c>
      <c r="E1728" t="s">
        <v>2991</v>
      </c>
    </row>
    <row r="1729" spans="1:5" x14ac:dyDescent="0.35">
      <c r="A1729" t="s">
        <v>582</v>
      </c>
      <c r="B1729" t="s">
        <v>2992</v>
      </c>
      <c r="C1729">
        <v>6</v>
      </c>
      <c r="D1729">
        <v>1938</v>
      </c>
      <c r="E1729" t="s">
        <v>2993</v>
      </c>
    </row>
    <row r="1730" spans="1:5" x14ac:dyDescent="0.35">
      <c r="A1730" t="s">
        <v>582</v>
      </c>
      <c r="B1730" t="s">
        <v>2994</v>
      </c>
      <c r="C1730">
        <v>6</v>
      </c>
      <c r="D1730">
        <v>2097</v>
      </c>
      <c r="E1730" t="s">
        <v>526</v>
      </c>
    </row>
    <row r="1731" spans="1:5" x14ac:dyDescent="0.35">
      <c r="A1731" t="s">
        <v>582</v>
      </c>
      <c r="B1731" t="s">
        <v>2995</v>
      </c>
      <c r="C1731">
        <v>6</v>
      </c>
      <c r="D1731">
        <v>2107</v>
      </c>
      <c r="E1731" t="s">
        <v>2790</v>
      </c>
    </row>
    <row r="1732" spans="1:5" x14ac:dyDescent="0.35">
      <c r="A1732" t="s">
        <v>582</v>
      </c>
      <c r="B1732" t="s">
        <v>2996</v>
      </c>
      <c r="C1732">
        <v>6</v>
      </c>
      <c r="D1732">
        <v>2119</v>
      </c>
      <c r="E1732" t="s">
        <v>2997</v>
      </c>
    </row>
    <row r="1733" spans="1:5" x14ac:dyDescent="0.35">
      <c r="A1733" t="s">
        <v>582</v>
      </c>
      <c r="B1733" t="s">
        <v>2998</v>
      </c>
      <c r="C1733">
        <v>6</v>
      </c>
      <c r="D1733">
        <v>2155</v>
      </c>
      <c r="E1733" t="s">
        <v>32</v>
      </c>
    </row>
    <row r="1734" spans="1:5" x14ac:dyDescent="0.35">
      <c r="A1734" t="s">
        <v>582</v>
      </c>
      <c r="B1734" t="s">
        <v>2999</v>
      </c>
      <c r="C1734">
        <v>6</v>
      </c>
      <c r="D1734">
        <v>2156</v>
      </c>
      <c r="E1734" t="s">
        <v>33</v>
      </c>
    </row>
    <row r="1735" spans="1:5" x14ac:dyDescent="0.35">
      <c r="A1735" t="s">
        <v>579</v>
      </c>
      <c r="B1735" t="s">
        <v>3000</v>
      </c>
      <c r="C1735">
        <v>5</v>
      </c>
      <c r="D1735">
        <v>1698</v>
      </c>
      <c r="E1735" t="s">
        <v>3001</v>
      </c>
    </row>
    <row r="1736" spans="1:5" x14ac:dyDescent="0.35">
      <c r="A1736" t="s">
        <v>582</v>
      </c>
      <c r="B1736" t="s">
        <v>3002</v>
      </c>
      <c r="C1736">
        <v>6</v>
      </c>
      <c r="D1736">
        <v>1699</v>
      </c>
      <c r="E1736" t="s">
        <v>19</v>
      </c>
    </row>
    <row r="1737" spans="1:5" x14ac:dyDescent="0.35">
      <c r="A1737" t="s">
        <v>582</v>
      </c>
      <c r="B1737" t="s">
        <v>3003</v>
      </c>
      <c r="C1737">
        <v>6</v>
      </c>
      <c r="D1737">
        <v>1700</v>
      </c>
      <c r="E1737" t="s">
        <v>20</v>
      </c>
    </row>
    <row r="1738" spans="1:5" x14ac:dyDescent="0.35">
      <c r="A1738" t="s">
        <v>582</v>
      </c>
      <c r="B1738" t="s">
        <v>3004</v>
      </c>
      <c r="C1738">
        <v>6</v>
      </c>
      <c r="D1738">
        <v>1701</v>
      </c>
      <c r="E1738" t="s">
        <v>21</v>
      </c>
    </row>
    <row r="1739" spans="1:5" x14ac:dyDescent="0.35">
      <c r="A1739" t="s">
        <v>582</v>
      </c>
      <c r="B1739" t="s">
        <v>3005</v>
      </c>
      <c r="C1739">
        <v>6</v>
      </c>
      <c r="D1739">
        <v>2053</v>
      </c>
      <c r="E1739" t="s">
        <v>3006</v>
      </c>
    </row>
    <row r="1740" spans="1:5" x14ac:dyDescent="0.35">
      <c r="A1740" t="s">
        <v>582</v>
      </c>
      <c r="B1740" t="s">
        <v>3007</v>
      </c>
      <c r="C1740">
        <v>6</v>
      </c>
      <c r="D1740">
        <v>2054</v>
      </c>
      <c r="E1740" t="s">
        <v>3008</v>
      </c>
    </row>
    <row r="1741" spans="1:5" x14ac:dyDescent="0.35">
      <c r="A1741" t="s">
        <v>582</v>
      </c>
      <c r="B1741" t="s">
        <v>3009</v>
      </c>
      <c r="C1741">
        <v>6</v>
      </c>
      <c r="D1741">
        <v>1910</v>
      </c>
      <c r="E1741" t="s">
        <v>3010</v>
      </c>
    </row>
    <row r="1742" spans="1:5" x14ac:dyDescent="0.35">
      <c r="A1742" t="s">
        <v>582</v>
      </c>
      <c r="B1742" t="s">
        <v>3011</v>
      </c>
      <c r="C1742">
        <v>6</v>
      </c>
      <c r="D1742">
        <v>1963</v>
      </c>
      <c r="E1742" t="s">
        <v>3012</v>
      </c>
    </row>
    <row r="1743" spans="1:5" x14ac:dyDescent="0.35">
      <c r="A1743" t="s">
        <v>582</v>
      </c>
      <c r="B1743" t="s">
        <v>3013</v>
      </c>
      <c r="C1743">
        <v>6</v>
      </c>
      <c r="D1743">
        <v>2089</v>
      </c>
      <c r="E1743" t="s">
        <v>2848</v>
      </c>
    </row>
    <row r="1744" spans="1:5" x14ac:dyDescent="0.35">
      <c r="A1744" t="s">
        <v>582</v>
      </c>
      <c r="B1744" t="s">
        <v>3014</v>
      </c>
      <c r="C1744">
        <v>6</v>
      </c>
      <c r="D1744">
        <v>2104</v>
      </c>
      <c r="E1744" t="s">
        <v>1506</v>
      </c>
    </row>
    <row r="1745" spans="1:5" x14ac:dyDescent="0.35">
      <c r="A1745" t="s">
        <v>582</v>
      </c>
      <c r="B1745" t="s">
        <v>3015</v>
      </c>
      <c r="C1745">
        <v>6</v>
      </c>
      <c r="D1745">
        <v>2113</v>
      </c>
      <c r="E1745" t="s">
        <v>1508</v>
      </c>
    </row>
    <row r="1746" spans="1:5" x14ac:dyDescent="0.35">
      <c r="A1746" t="s">
        <v>579</v>
      </c>
      <c r="B1746" t="s">
        <v>3016</v>
      </c>
      <c r="C1746">
        <v>5</v>
      </c>
      <c r="D1746">
        <v>1702</v>
      </c>
      <c r="E1746" t="s">
        <v>97</v>
      </c>
    </row>
    <row r="1747" spans="1:5" x14ac:dyDescent="0.35">
      <c r="A1747" t="s">
        <v>582</v>
      </c>
      <c r="B1747" t="s">
        <v>3017</v>
      </c>
      <c r="C1747">
        <v>6</v>
      </c>
      <c r="D1747">
        <v>1703</v>
      </c>
      <c r="E1747" t="s">
        <v>2861</v>
      </c>
    </row>
    <row r="1748" spans="1:5" x14ac:dyDescent="0.35">
      <c r="A1748" t="s">
        <v>582</v>
      </c>
      <c r="B1748" t="s">
        <v>3018</v>
      </c>
      <c r="C1748">
        <v>6</v>
      </c>
      <c r="D1748">
        <v>1704</v>
      </c>
      <c r="E1748" t="s">
        <v>3019</v>
      </c>
    </row>
    <row r="1749" spans="1:5" x14ac:dyDescent="0.35">
      <c r="A1749" t="s">
        <v>582</v>
      </c>
      <c r="B1749" t="s">
        <v>3020</v>
      </c>
      <c r="C1749">
        <v>6</v>
      </c>
      <c r="D1749">
        <v>1705</v>
      </c>
      <c r="E1749" t="s">
        <v>3021</v>
      </c>
    </row>
    <row r="1750" spans="1:5" x14ac:dyDescent="0.35">
      <c r="A1750" t="s">
        <v>582</v>
      </c>
      <c r="B1750" t="s">
        <v>3022</v>
      </c>
      <c r="C1750">
        <v>6</v>
      </c>
      <c r="D1750">
        <v>1706</v>
      </c>
      <c r="E1750" t="s">
        <v>2865</v>
      </c>
    </row>
    <row r="1751" spans="1:5" x14ac:dyDescent="0.35">
      <c r="A1751" t="s">
        <v>582</v>
      </c>
      <c r="B1751" t="s">
        <v>3023</v>
      </c>
      <c r="C1751">
        <v>6</v>
      </c>
      <c r="D1751">
        <v>1707</v>
      </c>
      <c r="E1751" t="s">
        <v>2867</v>
      </c>
    </row>
    <row r="1752" spans="1:5" x14ac:dyDescent="0.35">
      <c r="A1752" t="s">
        <v>582</v>
      </c>
      <c r="B1752" t="s">
        <v>3024</v>
      </c>
      <c r="C1752">
        <v>6</v>
      </c>
      <c r="D1752">
        <v>1708</v>
      </c>
      <c r="E1752" t="s">
        <v>2754</v>
      </c>
    </row>
    <row r="1753" spans="1:5" x14ac:dyDescent="0.35">
      <c r="A1753" t="s">
        <v>582</v>
      </c>
      <c r="B1753" t="s">
        <v>3025</v>
      </c>
      <c r="C1753">
        <v>6</v>
      </c>
      <c r="D1753">
        <v>1709</v>
      </c>
      <c r="E1753" t="s">
        <v>41</v>
      </c>
    </row>
    <row r="1754" spans="1:5" x14ac:dyDescent="0.35">
      <c r="A1754" t="s">
        <v>582</v>
      </c>
      <c r="B1754" t="s">
        <v>3026</v>
      </c>
      <c r="C1754">
        <v>6</v>
      </c>
      <c r="D1754">
        <v>1710</v>
      </c>
      <c r="E1754" t="s">
        <v>3027</v>
      </c>
    </row>
    <row r="1755" spans="1:5" x14ac:dyDescent="0.35">
      <c r="A1755" t="s">
        <v>579</v>
      </c>
      <c r="B1755" t="s">
        <v>3028</v>
      </c>
      <c r="C1755">
        <v>5</v>
      </c>
      <c r="D1755">
        <v>1711</v>
      </c>
      <c r="E1755" t="s">
        <v>3029</v>
      </c>
    </row>
    <row r="1756" spans="1:5" x14ac:dyDescent="0.35">
      <c r="A1756" t="s">
        <v>582</v>
      </c>
      <c r="B1756" t="s">
        <v>3030</v>
      </c>
      <c r="C1756">
        <v>6</v>
      </c>
      <c r="D1756">
        <v>1712</v>
      </c>
      <c r="E1756" t="s">
        <v>2750</v>
      </c>
    </row>
    <row r="1757" spans="1:5" x14ac:dyDescent="0.35">
      <c r="A1757" t="s">
        <v>582</v>
      </c>
      <c r="B1757" t="s">
        <v>3031</v>
      </c>
      <c r="C1757">
        <v>6</v>
      </c>
      <c r="D1757">
        <v>1713</v>
      </c>
      <c r="E1757" t="s">
        <v>2752</v>
      </c>
    </row>
    <row r="1758" spans="1:5" x14ac:dyDescent="0.35">
      <c r="A1758" t="s">
        <v>582</v>
      </c>
      <c r="B1758" t="s">
        <v>3032</v>
      </c>
      <c r="C1758">
        <v>6</v>
      </c>
      <c r="D1758">
        <v>1714</v>
      </c>
      <c r="E1758" t="s">
        <v>2754</v>
      </c>
    </row>
    <row r="1759" spans="1:5" x14ac:dyDescent="0.35">
      <c r="A1759" t="s">
        <v>582</v>
      </c>
      <c r="B1759" t="s">
        <v>3033</v>
      </c>
      <c r="C1759">
        <v>6</v>
      </c>
      <c r="D1759">
        <v>1715</v>
      </c>
      <c r="E1759" t="s">
        <v>2756</v>
      </c>
    </row>
    <row r="1760" spans="1:5" x14ac:dyDescent="0.35">
      <c r="A1760" t="s">
        <v>582</v>
      </c>
      <c r="B1760" t="s">
        <v>3034</v>
      </c>
      <c r="C1760">
        <v>6</v>
      </c>
      <c r="D1760">
        <v>1716</v>
      </c>
      <c r="E1760" t="s">
        <v>2758</v>
      </c>
    </row>
    <row r="1761" spans="1:5" x14ac:dyDescent="0.35">
      <c r="A1761" t="s">
        <v>582</v>
      </c>
      <c r="B1761" t="s">
        <v>3035</v>
      </c>
      <c r="C1761">
        <v>6</v>
      </c>
      <c r="D1761">
        <v>1717</v>
      </c>
      <c r="E1761" t="s">
        <v>3036</v>
      </c>
    </row>
    <row r="1762" spans="1:5" x14ac:dyDescent="0.35">
      <c r="A1762" t="s">
        <v>579</v>
      </c>
      <c r="B1762" t="s">
        <v>3037</v>
      </c>
      <c r="C1762">
        <v>5</v>
      </c>
      <c r="D1762">
        <v>1718</v>
      </c>
      <c r="E1762" t="s">
        <v>111</v>
      </c>
    </row>
    <row r="1763" spans="1:5" x14ac:dyDescent="0.35">
      <c r="A1763" t="s">
        <v>582</v>
      </c>
      <c r="B1763" t="s">
        <v>3038</v>
      </c>
      <c r="C1763">
        <v>6</v>
      </c>
      <c r="D1763">
        <v>1719</v>
      </c>
      <c r="E1763" t="s">
        <v>40</v>
      </c>
    </row>
    <row r="1764" spans="1:5" x14ac:dyDescent="0.35">
      <c r="A1764" t="s">
        <v>582</v>
      </c>
      <c r="B1764" t="s">
        <v>3039</v>
      </c>
      <c r="C1764">
        <v>6</v>
      </c>
      <c r="D1764">
        <v>1720</v>
      </c>
      <c r="E1764" t="s">
        <v>38</v>
      </c>
    </row>
    <row r="1765" spans="1:5" x14ac:dyDescent="0.35">
      <c r="A1765" t="s">
        <v>582</v>
      </c>
      <c r="B1765" t="s">
        <v>3040</v>
      </c>
      <c r="C1765">
        <v>6</v>
      </c>
      <c r="D1765">
        <v>1721</v>
      </c>
      <c r="E1765" t="s">
        <v>2529</v>
      </c>
    </row>
    <row r="1766" spans="1:5" x14ac:dyDescent="0.35">
      <c r="A1766" t="s">
        <v>582</v>
      </c>
      <c r="B1766" t="s">
        <v>3041</v>
      </c>
      <c r="C1766">
        <v>6</v>
      </c>
      <c r="D1766">
        <v>1722</v>
      </c>
      <c r="E1766" t="s">
        <v>2873</v>
      </c>
    </row>
    <row r="1767" spans="1:5" x14ac:dyDescent="0.35">
      <c r="A1767" t="s">
        <v>582</v>
      </c>
      <c r="B1767" t="s">
        <v>3042</v>
      </c>
      <c r="C1767">
        <v>6</v>
      </c>
      <c r="D1767">
        <v>1723</v>
      </c>
      <c r="E1767" t="s">
        <v>2875</v>
      </c>
    </row>
    <row r="1768" spans="1:5" x14ac:dyDescent="0.35">
      <c r="A1768" t="s">
        <v>582</v>
      </c>
      <c r="B1768" t="s">
        <v>3043</v>
      </c>
      <c r="C1768">
        <v>6</v>
      </c>
      <c r="D1768">
        <v>1724</v>
      </c>
      <c r="E1768" t="s">
        <v>3044</v>
      </c>
    </row>
    <row r="1769" spans="1:5" x14ac:dyDescent="0.35">
      <c r="A1769" t="s">
        <v>582</v>
      </c>
      <c r="B1769" t="s">
        <v>3045</v>
      </c>
      <c r="C1769">
        <v>6</v>
      </c>
      <c r="D1769">
        <v>1725</v>
      </c>
      <c r="E1769" t="s">
        <v>2879</v>
      </c>
    </row>
    <row r="1770" spans="1:5" x14ac:dyDescent="0.35">
      <c r="A1770" t="s">
        <v>579</v>
      </c>
      <c r="B1770" t="s">
        <v>3046</v>
      </c>
      <c r="C1770">
        <v>5</v>
      </c>
      <c r="D1770">
        <v>1726</v>
      </c>
      <c r="E1770" t="s">
        <v>2883</v>
      </c>
    </row>
    <row r="1771" spans="1:5" x14ac:dyDescent="0.35">
      <c r="A1771" t="s">
        <v>582</v>
      </c>
      <c r="B1771" t="s">
        <v>3047</v>
      </c>
      <c r="C1771">
        <v>6</v>
      </c>
      <c r="D1771">
        <v>1727</v>
      </c>
      <c r="E1771" t="s">
        <v>2885</v>
      </c>
    </row>
    <row r="1772" spans="1:5" x14ac:dyDescent="0.35">
      <c r="A1772" t="s">
        <v>579</v>
      </c>
      <c r="B1772" t="s">
        <v>3048</v>
      </c>
      <c r="C1772">
        <v>5</v>
      </c>
      <c r="D1772">
        <v>2210</v>
      </c>
      <c r="E1772" t="s">
        <v>2889</v>
      </c>
    </row>
    <row r="1773" spans="1:5" x14ac:dyDescent="0.35">
      <c r="A1773" t="s">
        <v>582</v>
      </c>
      <c r="B1773" t="s">
        <v>3049</v>
      </c>
      <c r="C1773">
        <v>6</v>
      </c>
      <c r="D1773">
        <v>2211</v>
      </c>
      <c r="E1773" t="s">
        <v>2891</v>
      </c>
    </row>
    <row r="1774" spans="1:5" x14ac:dyDescent="0.35">
      <c r="A1774" t="s">
        <v>582</v>
      </c>
      <c r="B1774" t="s">
        <v>3050</v>
      </c>
      <c r="C1774">
        <v>6</v>
      </c>
      <c r="D1774">
        <v>2212</v>
      </c>
      <c r="E1774" t="s">
        <v>2893</v>
      </c>
    </row>
    <row r="1775" spans="1:5" x14ac:dyDescent="0.35">
      <c r="A1775" t="s">
        <v>579</v>
      </c>
      <c r="B1775" t="s">
        <v>3051</v>
      </c>
      <c r="C1775">
        <v>2</v>
      </c>
      <c r="D1775">
        <v>1728</v>
      </c>
      <c r="E1775" t="s">
        <v>3052</v>
      </c>
    </row>
    <row r="1776" spans="1:5" x14ac:dyDescent="0.35">
      <c r="A1776" t="s">
        <v>579</v>
      </c>
      <c r="B1776" t="s">
        <v>3053</v>
      </c>
      <c r="C1776">
        <v>3</v>
      </c>
      <c r="D1776">
        <v>1729</v>
      </c>
      <c r="E1776" t="s">
        <v>3054</v>
      </c>
    </row>
    <row r="1777" spans="1:5" x14ac:dyDescent="0.35">
      <c r="A1777" t="s">
        <v>579</v>
      </c>
      <c r="B1777" t="s">
        <v>3055</v>
      </c>
      <c r="C1777">
        <v>4</v>
      </c>
      <c r="D1777">
        <v>1730</v>
      </c>
      <c r="E1777" t="s">
        <v>3056</v>
      </c>
    </row>
    <row r="1778" spans="1:5" x14ac:dyDescent="0.35">
      <c r="A1778" t="s">
        <v>579</v>
      </c>
      <c r="B1778" t="s">
        <v>3057</v>
      </c>
      <c r="C1778">
        <v>5</v>
      </c>
      <c r="D1778">
        <v>1731</v>
      </c>
      <c r="E1778" t="s">
        <v>2901</v>
      </c>
    </row>
    <row r="1779" spans="1:5" x14ac:dyDescent="0.35">
      <c r="A1779" t="s">
        <v>582</v>
      </c>
      <c r="B1779" t="s">
        <v>3058</v>
      </c>
      <c r="C1779">
        <v>6</v>
      </c>
      <c r="D1779">
        <v>1732</v>
      </c>
      <c r="E1779" t="s">
        <v>15</v>
      </c>
    </row>
    <row r="1780" spans="1:5" x14ac:dyDescent="0.35">
      <c r="A1780" t="s">
        <v>582</v>
      </c>
      <c r="B1780" t="s">
        <v>3059</v>
      </c>
      <c r="C1780">
        <v>6</v>
      </c>
      <c r="D1780">
        <v>1733</v>
      </c>
      <c r="E1780" t="s">
        <v>19</v>
      </c>
    </row>
    <row r="1781" spans="1:5" x14ac:dyDescent="0.35">
      <c r="A1781" t="s">
        <v>582</v>
      </c>
      <c r="B1781" t="s">
        <v>3060</v>
      </c>
      <c r="C1781">
        <v>6</v>
      </c>
      <c r="D1781">
        <v>1734</v>
      </c>
      <c r="E1781" t="s">
        <v>20</v>
      </c>
    </row>
    <row r="1782" spans="1:5" x14ac:dyDescent="0.35">
      <c r="A1782" t="s">
        <v>582</v>
      </c>
      <c r="B1782" t="s">
        <v>3061</v>
      </c>
      <c r="C1782">
        <v>6</v>
      </c>
      <c r="D1782">
        <v>1735</v>
      </c>
      <c r="E1782" t="s">
        <v>2698</v>
      </c>
    </row>
    <row r="1783" spans="1:5" x14ac:dyDescent="0.35">
      <c r="A1783" t="s">
        <v>582</v>
      </c>
      <c r="B1783" t="s">
        <v>3062</v>
      </c>
      <c r="C1783">
        <v>6</v>
      </c>
      <c r="D1783">
        <v>1736</v>
      </c>
      <c r="E1783" t="s">
        <v>2907</v>
      </c>
    </row>
    <row r="1784" spans="1:5" x14ac:dyDescent="0.35">
      <c r="A1784" t="s">
        <v>582</v>
      </c>
      <c r="B1784" t="s">
        <v>3063</v>
      </c>
      <c r="C1784">
        <v>6</v>
      </c>
      <c r="D1784">
        <v>1737</v>
      </c>
      <c r="E1784" t="s">
        <v>2909</v>
      </c>
    </row>
    <row r="1785" spans="1:5" x14ac:dyDescent="0.35">
      <c r="A1785" t="s">
        <v>582</v>
      </c>
      <c r="B1785" t="s">
        <v>3064</v>
      </c>
      <c r="C1785">
        <v>6</v>
      </c>
      <c r="D1785">
        <v>1738</v>
      </c>
      <c r="E1785" t="s">
        <v>2911</v>
      </c>
    </row>
    <row r="1786" spans="1:5" x14ac:dyDescent="0.35">
      <c r="A1786" t="s">
        <v>582</v>
      </c>
      <c r="B1786" t="s">
        <v>3065</v>
      </c>
      <c r="C1786">
        <v>6</v>
      </c>
      <c r="D1786">
        <v>1739</v>
      </c>
      <c r="E1786" t="s">
        <v>2700</v>
      </c>
    </row>
    <row r="1787" spans="1:5" x14ac:dyDescent="0.35">
      <c r="A1787" t="s">
        <v>582</v>
      </c>
      <c r="B1787" t="s">
        <v>3066</v>
      </c>
      <c r="C1787">
        <v>6</v>
      </c>
      <c r="D1787">
        <v>1740</v>
      </c>
      <c r="E1787" t="s">
        <v>18</v>
      </c>
    </row>
    <row r="1788" spans="1:5" x14ac:dyDescent="0.35">
      <c r="A1788" t="s">
        <v>582</v>
      </c>
      <c r="B1788" t="s">
        <v>3067</v>
      </c>
      <c r="C1788">
        <v>6</v>
      </c>
      <c r="D1788">
        <v>1741</v>
      </c>
      <c r="E1788" t="s">
        <v>2702</v>
      </c>
    </row>
    <row r="1789" spans="1:5" x14ac:dyDescent="0.35">
      <c r="A1789" t="s">
        <v>582</v>
      </c>
      <c r="B1789" t="s">
        <v>3068</v>
      </c>
      <c r="C1789">
        <v>6</v>
      </c>
      <c r="D1789">
        <v>1742</v>
      </c>
      <c r="E1789" t="s">
        <v>2916</v>
      </c>
    </row>
    <row r="1790" spans="1:5" x14ac:dyDescent="0.35">
      <c r="A1790" t="s">
        <v>582</v>
      </c>
      <c r="B1790" t="s">
        <v>3069</v>
      </c>
      <c r="C1790">
        <v>6</v>
      </c>
      <c r="D1790">
        <v>1743</v>
      </c>
      <c r="E1790" t="s">
        <v>160</v>
      </c>
    </row>
    <row r="1791" spans="1:5" x14ac:dyDescent="0.35">
      <c r="A1791" t="s">
        <v>582</v>
      </c>
      <c r="B1791" t="s">
        <v>3070</v>
      </c>
      <c r="C1791">
        <v>6</v>
      </c>
      <c r="D1791">
        <v>1744</v>
      </c>
      <c r="E1791" t="s">
        <v>2704</v>
      </c>
    </row>
    <row r="1792" spans="1:5" x14ac:dyDescent="0.35">
      <c r="A1792" t="s">
        <v>582</v>
      </c>
      <c r="B1792" t="s">
        <v>3071</v>
      </c>
      <c r="C1792">
        <v>6</v>
      </c>
      <c r="D1792">
        <v>1745</v>
      </c>
      <c r="E1792" t="s">
        <v>2920</v>
      </c>
    </row>
    <row r="1793" spans="1:5" x14ac:dyDescent="0.35">
      <c r="A1793" t="s">
        <v>582</v>
      </c>
      <c r="B1793" t="s">
        <v>3072</v>
      </c>
      <c r="C1793">
        <v>6</v>
      </c>
      <c r="D1793">
        <v>1746</v>
      </c>
      <c r="E1793" t="s">
        <v>2922</v>
      </c>
    </row>
    <row r="1794" spans="1:5" x14ac:dyDescent="0.35">
      <c r="A1794" t="s">
        <v>582</v>
      </c>
      <c r="B1794" t="s">
        <v>3073</v>
      </c>
      <c r="C1794">
        <v>6</v>
      </c>
      <c r="D1794">
        <v>1747</v>
      </c>
      <c r="E1794" t="s">
        <v>3074</v>
      </c>
    </row>
    <row r="1795" spans="1:5" x14ac:dyDescent="0.35">
      <c r="A1795" t="s">
        <v>582</v>
      </c>
      <c r="B1795" t="s">
        <v>3075</v>
      </c>
      <c r="C1795">
        <v>6</v>
      </c>
      <c r="D1795">
        <v>1748</v>
      </c>
      <c r="E1795" t="s">
        <v>14</v>
      </c>
    </row>
    <row r="1796" spans="1:5" x14ac:dyDescent="0.35">
      <c r="A1796" t="s">
        <v>582</v>
      </c>
      <c r="B1796" t="s">
        <v>3076</v>
      </c>
      <c r="C1796">
        <v>6</v>
      </c>
      <c r="D1796">
        <v>1749</v>
      </c>
      <c r="E1796" t="s">
        <v>2925</v>
      </c>
    </row>
    <row r="1797" spans="1:5" x14ac:dyDescent="0.35">
      <c r="A1797" t="s">
        <v>582</v>
      </c>
      <c r="B1797" t="s">
        <v>3077</v>
      </c>
      <c r="C1797">
        <v>6</v>
      </c>
      <c r="D1797">
        <v>1750</v>
      </c>
      <c r="E1797" t="s">
        <v>13</v>
      </c>
    </row>
    <row r="1798" spans="1:5" x14ac:dyDescent="0.35">
      <c r="A1798" t="s">
        <v>582</v>
      </c>
      <c r="B1798" t="s">
        <v>3078</v>
      </c>
      <c r="C1798">
        <v>6</v>
      </c>
      <c r="D1798">
        <v>1751</v>
      </c>
      <c r="E1798" t="s">
        <v>17</v>
      </c>
    </row>
    <row r="1799" spans="1:5" x14ac:dyDescent="0.35">
      <c r="A1799" t="s">
        <v>582</v>
      </c>
      <c r="B1799" t="s">
        <v>3079</v>
      </c>
      <c r="C1799">
        <v>6</v>
      </c>
      <c r="D1799">
        <v>1752</v>
      </c>
      <c r="E1799" t="s">
        <v>3080</v>
      </c>
    </row>
    <row r="1800" spans="1:5" x14ac:dyDescent="0.35">
      <c r="A1800" t="s">
        <v>582</v>
      </c>
      <c r="B1800" t="s">
        <v>3081</v>
      </c>
      <c r="C1800">
        <v>6</v>
      </c>
      <c r="D1800">
        <v>2123</v>
      </c>
      <c r="E1800" t="s">
        <v>161</v>
      </c>
    </row>
    <row r="1801" spans="1:5" x14ac:dyDescent="0.35">
      <c r="A1801" t="s">
        <v>579</v>
      </c>
      <c r="B1801" t="s">
        <v>3082</v>
      </c>
      <c r="C1801">
        <v>5</v>
      </c>
      <c r="D1801">
        <v>1753</v>
      </c>
      <c r="E1801" t="s">
        <v>81</v>
      </c>
    </row>
    <row r="1802" spans="1:5" x14ac:dyDescent="0.35">
      <c r="A1802" t="s">
        <v>582</v>
      </c>
      <c r="B1802" t="s">
        <v>3083</v>
      </c>
      <c r="C1802">
        <v>6</v>
      </c>
      <c r="D1802">
        <v>1754</v>
      </c>
      <c r="E1802" t="s">
        <v>2714</v>
      </c>
    </row>
    <row r="1803" spans="1:5" x14ac:dyDescent="0.35">
      <c r="A1803" t="s">
        <v>582</v>
      </c>
      <c r="B1803" t="s">
        <v>3084</v>
      </c>
      <c r="C1803">
        <v>6</v>
      </c>
      <c r="D1803">
        <v>1755</v>
      </c>
      <c r="E1803" t="s">
        <v>2716</v>
      </c>
    </row>
    <row r="1804" spans="1:5" x14ac:dyDescent="0.35">
      <c r="A1804" t="s">
        <v>582</v>
      </c>
      <c r="B1804" t="s">
        <v>3085</v>
      </c>
      <c r="C1804">
        <v>6</v>
      </c>
      <c r="D1804">
        <v>1756</v>
      </c>
      <c r="E1804" t="s">
        <v>2718</v>
      </c>
    </row>
    <row r="1805" spans="1:5" x14ac:dyDescent="0.35">
      <c r="A1805" t="s">
        <v>582</v>
      </c>
      <c r="B1805" t="s">
        <v>3086</v>
      </c>
      <c r="C1805">
        <v>6</v>
      </c>
      <c r="D1805">
        <v>1757</v>
      </c>
      <c r="E1805" t="s">
        <v>2720</v>
      </c>
    </row>
    <row r="1806" spans="1:5" x14ac:dyDescent="0.35">
      <c r="A1806" t="s">
        <v>582</v>
      </c>
      <c r="B1806" t="s">
        <v>3087</v>
      </c>
      <c r="C1806">
        <v>6</v>
      </c>
      <c r="D1806">
        <v>1939</v>
      </c>
      <c r="E1806" t="s">
        <v>3088</v>
      </c>
    </row>
    <row r="1807" spans="1:5" x14ac:dyDescent="0.35">
      <c r="A1807" t="s">
        <v>582</v>
      </c>
      <c r="B1807" t="s">
        <v>3089</v>
      </c>
      <c r="C1807">
        <v>6</v>
      </c>
      <c r="D1807">
        <v>2157</v>
      </c>
      <c r="E1807" t="s">
        <v>82</v>
      </c>
    </row>
    <row r="1808" spans="1:5" x14ac:dyDescent="0.35">
      <c r="A1808" t="s">
        <v>582</v>
      </c>
      <c r="B1808" t="s">
        <v>3090</v>
      </c>
      <c r="C1808">
        <v>6</v>
      </c>
      <c r="D1808">
        <v>2158</v>
      </c>
      <c r="E1808" t="s">
        <v>2723</v>
      </c>
    </row>
    <row r="1809" spans="1:5" x14ac:dyDescent="0.35">
      <c r="A1809" t="s">
        <v>582</v>
      </c>
      <c r="B1809" t="s">
        <v>3091</v>
      </c>
      <c r="C1809">
        <v>6</v>
      </c>
      <c r="D1809">
        <v>2159</v>
      </c>
      <c r="E1809" t="s">
        <v>2725</v>
      </c>
    </row>
    <row r="1810" spans="1:5" x14ac:dyDescent="0.35">
      <c r="A1810" t="s">
        <v>582</v>
      </c>
      <c r="B1810" t="s">
        <v>3092</v>
      </c>
      <c r="C1810">
        <v>6</v>
      </c>
      <c r="D1810">
        <v>2160</v>
      </c>
      <c r="E1810" t="s">
        <v>2727</v>
      </c>
    </row>
    <row r="1811" spans="1:5" x14ac:dyDescent="0.35">
      <c r="A1811" t="s">
        <v>582</v>
      </c>
      <c r="B1811" t="s">
        <v>3093</v>
      </c>
      <c r="C1811">
        <v>6</v>
      </c>
      <c r="D1811">
        <v>2161</v>
      </c>
      <c r="E1811" t="s">
        <v>2729</v>
      </c>
    </row>
    <row r="1812" spans="1:5" x14ac:dyDescent="0.35">
      <c r="A1812" t="s">
        <v>582</v>
      </c>
      <c r="B1812" t="s">
        <v>3094</v>
      </c>
      <c r="C1812">
        <v>6</v>
      </c>
      <c r="D1812">
        <v>2162</v>
      </c>
      <c r="E1812" t="s">
        <v>2731</v>
      </c>
    </row>
    <row r="1813" spans="1:5" x14ac:dyDescent="0.35">
      <c r="A1813" t="s">
        <v>582</v>
      </c>
      <c r="B1813" t="s">
        <v>3095</v>
      </c>
      <c r="C1813">
        <v>6</v>
      </c>
      <c r="D1813">
        <v>2163</v>
      </c>
      <c r="E1813" t="s">
        <v>83</v>
      </c>
    </row>
    <row r="1814" spans="1:5" x14ac:dyDescent="0.35">
      <c r="A1814" t="s">
        <v>582</v>
      </c>
      <c r="B1814" t="s">
        <v>3096</v>
      </c>
      <c r="C1814">
        <v>6</v>
      </c>
      <c r="D1814">
        <v>2164</v>
      </c>
      <c r="E1814" t="s">
        <v>2733</v>
      </c>
    </row>
    <row r="1815" spans="1:5" x14ac:dyDescent="0.35">
      <c r="A1815" t="s">
        <v>582</v>
      </c>
      <c r="B1815" t="s">
        <v>3097</v>
      </c>
      <c r="C1815">
        <v>6</v>
      </c>
      <c r="D1815">
        <v>2165</v>
      </c>
      <c r="E1815" t="s">
        <v>2735</v>
      </c>
    </row>
    <row r="1816" spans="1:5" x14ac:dyDescent="0.35">
      <c r="A1816" t="s">
        <v>582</v>
      </c>
      <c r="B1816" t="s">
        <v>3098</v>
      </c>
      <c r="C1816">
        <v>6</v>
      </c>
      <c r="D1816">
        <v>2166</v>
      </c>
      <c r="E1816" t="s">
        <v>29</v>
      </c>
    </row>
    <row r="1817" spans="1:5" x14ac:dyDescent="0.35">
      <c r="A1817" t="s">
        <v>582</v>
      </c>
      <c r="B1817" t="s">
        <v>3099</v>
      </c>
      <c r="C1817">
        <v>6</v>
      </c>
      <c r="D1817">
        <v>2167</v>
      </c>
      <c r="E1817" t="s">
        <v>171</v>
      </c>
    </row>
    <row r="1818" spans="1:5" x14ac:dyDescent="0.35">
      <c r="A1818" t="s">
        <v>582</v>
      </c>
      <c r="B1818" t="s">
        <v>3100</v>
      </c>
      <c r="C1818">
        <v>6</v>
      </c>
      <c r="D1818">
        <v>2168</v>
      </c>
      <c r="E1818" t="s">
        <v>168</v>
      </c>
    </row>
    <row r="1819" spans="1:5" x14ac:dyDescent="0.35">
      <c r="A1819" t="s">
        <v>582</v>
      </c>
      <c r="B1819" t="s">
        <v>3101</v>
      </c>
      <c r="C1819">
        <v>6</v>
      </c>
      <c r="D1819">
        <v>2169</v>
      </c>
      <c r="E1819" t="s">
        <v>28</v>
      </c>
    </row>
    <row r="1820" spans="1:5" x14ac:dyDescent="0.35">
      <c r="A1820" t="s">
        <v>579</v>
      </c>
      <c r="B1820" t="s">
        <v>3102</v>
      </c>
      <c r="C1820">
        <v>5</v>
      </c>
      <c r="D1820">
        <v>1758</v>
      </c>
      <c r="E1820" t="s">
        <v>2748</v>
      </c>
    </row>
    <row r="1821" spans="1:5" x14ac:dyDescent="0.35">
      <c r="A1821" t="s">
        <v>582</v>
      </c>
      <c r="B1821" t="s">
        <v>3103</v>
      </c>
      <c r="C1821">
        <v>6</v>
      </c>
      <c r="D1821">
        <v>1759</v>
      </c>
      <c r="E1821" t="s">
        <v>2750</v>
      </c>
    </row>
    <row r="1822" spans="1:5" x14ac:dyDescent="0.35">
      <c r="A1822" t="s">
        <v>582</v>
      </c>
      <c r="B1822" t="s">
        <v>3104</v>
      </c>
      <c r="C1822">
        <v>6</v>
      </c>
      <c r="D1822">
        <v>1760</v>
      </c>
      <c r="E1822" t="s">
        <v>3105</v>
      </c>
    </row>
    <row r="1823" spans="1:5" x14ac:dyDescent="0.35">
      <c r="A1823" t="s">
        <v>582</v>
      </c>
      <c r="B1823" t="s">
        <v>3106</v>
      </c>
      <c r="C1823">
        <v>6</v>
      </c>
      <c r="D1823">
        <v>1761</v>
      </c>
      <c r="E1823" t="s">
        <v>2754</v>
      </c>
    </row>
    <row r="1824" spans="1:5" x14ac:dyDescent="0.35">
      <c r="A1824" t="s">
        <v>582</v>
      </c>
      <c r="B1824" t="s">
        <v>3107</v>
      </c>
      <c r="C1824">
        <v>6</v>
      </c>
      <c r="D1824">
        <v>1762</v>
      </c>
      <c r="E1824" t="s">
        <v>2756</v>
      </c>
    </row>
    <row r="1825" spans="1:5" x14ac:dyDescent="0.35">
      <c r="A1825" t="s">
        <v>582</v>
      </c>
      <c r="B1825" t="s">
        <v>3108</v>
      </c>
      <c r="C1825">
        <v>6</v>
      </c>
      <c r="D1825">
        <v>1763</v>
      </c>
      <c r="E1825" t="s">
        <v>3109</v>
      </c>
    </row>
    <row r="1826" spans="1:5" x14ac:dyDescent="0.35">
      <c r="A1826" t="s">
        <v>582</v>
      </c>
      <c r="B1826" t="s">
        <v>3110</v>
      </c>
      <c r="C1826">
        <v>6</v>
      </c>
      <c r="D1826">
        <v>1764</v>
      </c>
      <c r="E1826" t="s">
        <v>2760</v>
      </c>
    </row>
    <row r="1827" spans="1:5" x14ac:dyDescent="0.35">
      <c r="A1827" t="s">
        <v>579</v>
      </c>
      <c r="B1827" t="s">
        <v>3111</v>
      </c>
      <c r="C1827">
        <v>5</v>
      </c>
      <c r="D1827">
        <v>1765</v>
      </c>
      <c r="E1827" t="s">
        <v>2953</v>
      </c>
    </row>
    <row r="1828" spans="1:5" x14ac:dyDescent="0.35">
      <c r="A1828" t="s">
        <v>582</v>
      </c>
      <c r="B1828" t="s">
        <v>3112</v>
      </c>
      <c r="C1828">
        <v>6</v>
      </c>
      <c r="D1828">
        <v>1766</v>
      </c>
      <c r="E1828" t="s">
        <v>163</v>
      </c>
    </row>
    <row r="1829" spans="1:5" x14ac:dyDescent="0.35">
      <c r="A1829" t="s">
        <v>582</v>
      </c>
      <c r="B1829" t="s">
        <v>3113</v>
      </c>
      <c r="C1829">
        <v>6</v>
      </c>
      <c r="D1829">
        <v>1767</v>
      </c>
      <c r="E1829" t="s">
        <v>24</v>
      </c>
    </row>
    <row r="1830" spans="1:5" x14ac:dyDescent="0.35">
      <c r="A1830" t="s">
        <v>582</v>
      </c>
      <c r="B1830" t="s">
        <v>3114</v>
      </c>
      <c r="C1830">
        <v>6</v>
      </c>
      <c r="D1830">
        <v>1768</v>
      </c>
      <c r="E1830" t="s">
        <v>509</v>
      </c>
    </row>
    <row r="1831" spans="1:5" x14ac:dyDescent="0.35">
      <c r="A1831" t="s">
        <v>582</v>
      </c>
      <c r="B1831" t="s">
        <v>3115</v>
      </c>
      <c r="C1831">
        <v>6</v>
      </c>
      <c r="D1831">
        <v>1769</v>
      </c>
      <c r="E1831" t="s">
        <v>2955</v>
      </c>
    </row>
    <row r="1832" spans="1:5" x14ac:dyDescent="0.35">
      <c r="A1832" t="s">
        <v>582</v>
      </c>
      <c r="B1832" t="s">
        <v>3116</v>
      </c>
      <c r="C1832">
        <v>6</v>
      </c>
      <c r="D1832">
        <v>1770</v>
      </c>
      <c r="E1832" t="s">
        <v>26</v>
      </c>
    </row>
    <row r="1833" spans="1:5" x14ac:dyDescent="0.35">
      <c r="A1833" t="s">
        <v>582</v>
      </c>
      <c r="B1833" t="s">
        <v>3117</v>
      </c>
      <c r="C1833">
        <v>6</v>
      </c>
      <c r="D1833">
        <v>1771</v>
      </c>
      <c r="E1833" t="s">
        <v>2742</v>
      </c>
    </row>
    <row r="1834" spans="1:5" x14ac:dyDescent="0.35">
      <c r="A1834" t="s">
        <v>582</v>
      </c>
      <c r="B1834" t="s">
        <v>3118</v>
      </c>
      <c r="C1834">
        <v>6</v>
      </c>
      <c r="D1834">
        <v>1772</v>
      </c>
      <c r="E1834" t="s">
        <v>2744</v>
      </c>
    </row>
    <row r="1835" spans="1:5" x14ac:dyDescent="0.35">
      <c r="A1835" t="s">
        <v>582</v>
      </c>
      <c r="B1835" t="s">
        <v>3119</v>
      </c>
      <c r="C1835">
        <v>6</v>
      </c>
      <c r="D1835">
        <v>1773</v>
      </c>
      <c r="E1835" t="s">
        <v>167</v>
      </c>
    </row>
    <row r="1836" spans="1:5" x14ac:dyDescent="0.35">
      <c r="A1836" t="s">
        <v>582</v>
      </c>
      <c r="B1836" t="s">
        <v>3120</v>
      </c>
      <c r="C1836">
        <v>6</v>
      </c>
      <c r="D1836">
        <v>1774</v>
      </c>
      <c r="E1836" t="s">
        <v>3121</v>
      </c>
    </row>
    <row r="1837" spans="1:5" x14ac:dyDescent="0.35">
      <c r="A1837" t="s">
        <v>582</v>
      </c>
      <c r="B1837" t="s">
        <v>3122</v>
      </c>
      <c r="C1837">
        <v>6</v>
      </c>
      <c r="D1837">
        <v>1943</v>
      </c>
      <c r="E1837" t="s">
        <v>80</v>
      </c>
    </row>
    <row r="1838" spans="1:5" x14ac:dyDescent="0.35">
      <c r="A1838" t="s">
        <v>579</v>
      </c>
      <c r="B1838" t="s">
        <v>3123</v>
      </c>
      <c r="C1838">
        <v>5</v>
      </c>
      <c r="D1838">
        <v>1775</v>
      </c>
      <c r="E1838" t="s">
        <v>95</v>
      </c>
    </row>
    <row r="1839" spans="1:5" x14ac:dyDescent="0.35">
      <c r="A1839" t="s">
        <v>582</v>
      </c>
      <c r="B1839" t="s">
        <v>3124</v>
      </c>
      <c r="C1839">
        <v>6</v>
      </c>
      <c r="D1839">
        <v>1776</v>
      </c>
      <c r="E1839" t="s">
        <v>2480</v>
      </c>
    </row>
    <row r="1840" spans="1:5" x14ac:dyDescent="0.35">
      <c r="A1840" t="s">
        <v>582</v>
      </c>
      <c r="B1840" t="s">
        <v>3125</v>
      </c>
      <c r="C1840">
        <v>6</v>
      </c>
      <c r="D1840">
        <v>1777</v>
      </c>
      <c r="E1840" t="s">
        <v>35</v>
      </c>
    </row>
    <row r="1841" spans="1:5" x14ac:dyDescent="0.35">
      <c r="A1841" t="s">
        <v>582</v>
      </c>
      <c r="B1841" t="s">
        <v>3126</v>
      </c>
      <c r="C1841">
        <v>6</v>
      </c>
      <c r="D1841">
        <v>1778</v>
      </c>
      <c r="E1841" t="s">
        <v>31</v>
      </c>
    </row>
    <row r="1842" spans="1:5" x14ac:dyDescent="0.35">
      <c r="A1842" t="s">
        <v>582</v>
      </c>
      <c r="B1842" t="s">
        <v>3127</v>
      </c>
      <c r="C1842">
        <v>6</v>
      </c>
      <c r="D1842">
        <v>1779</v>
      </c>
      <c r="E1842" t="s">
        <v>36</v>
      </c>
    </row>
    <row r="1843" spans="1:5" x14ac:dyDescent="0.35">
      <c r="A1843" t="s">
        <v>582</v>
      </c>
      <c r="B1843" t="s">
        <v>3128</v>
      </c>
      <c r="C1843">
        <v>6</v>
      </c>
      <c r="D1843">
        <v>1780</v>
      </c>
      <c r="E1843" t="s">
        <v>2973</v>
      </c>
    </row>
    <row r="1844" spans="1:5" x14ac:dyDescent="0.35">
      <c r="A1844" t="s">
        <v>582</v>
      </c>
      <c r="B1844" t="s">
        <v>3129</v>
      </c>
      <c r="C1844">
        <v>6</v>
      </c>
      <c r="D1844">
        <v>1781</v>
      </c>
      <c r="E1844" t="s">
        <v>2763</v>
      </c>
    </row>
    <row r="1845" spans="1:5" x14ac:dyDescent="0.35">
      <c r="A1845" t="s">
        <v>582</v>
      </c>
      <c r="B1845" t="s">
        <v>3130</v>
      </c>
      <c r="C1845">
        <v>6</v>
      </c>
      <c r="D1845">
        <v>1782</v>
      </c>
      <c r="E1845" t="s">
        <v>2765</v>
      </c>
    </row>
    <row r="1846" spans="1:5" x14ac:dyDescent="0.35">
      <c r="A1846" t="s">
        <v>582</v>
      </c>
      <c r="B1846" t="s">
        <v>3131</v>
      </c>
      <c r="C1846">
        <v>6</v>
      </c>
      <c r="D1846">
        <v>1783</v>
      </c>
      <c r="E1846" t="s">
        <v>39</v>
      </c>
    </row>
    <row r="1847" spans="1:5" x14ac:dyDescent="0.35">
      <c r="A1847" t="s">
        <v>582</v>
      </c>
      <c r="B1847" t="s">
        <v>3132</v>
      </c>
      <c r="C1847">
        <v>6</v>
      </c>
      <c r="D1847">
        <v>1784</v>
      </c>
      <c r="E1847" t="s">
        <v>2978</v>
      </c>
    </row>
    <row r="1848" spans="1:5" x14ac:dyDescent="0.35">
      <c r="A1848" t="s">
        <v>582</v>
      </c>
      <c r="B1848" t="s">
        <v>3133</v>
      </c>
      <c r="C1848">
        <v>6</v>
      </c>
      <c r="D1848">
        <v>1785</v>
      </c>
      <c r="E1848" t="s">
        <v>2769</v>
      </c>
    </row>
    <row r="1849" spans="1:5" x14ac:dyDescent="0.35">
      <c r="A1849" t="s">
        <v>582</v>
      </c>
      <c r="B1849" t="s">
        <v>3134</v>
      </c>
      <c r="C1849">
        <v>6</v>
      </c>
      <c r="D1849">
        <v>1786</v>
      </c>
      <c r="E1849" t="s">
        <v>34</v>
      </c>
    </row>
    <row r="1850" spans="1:5" x14ac:dyDescent="0.35">
      <c r="A1850" t="s">
        <v>582</v>
      </c>
      <c r="B1850" t="s">
        <v>3135</v>
      </c>
      <c r="C1850">
        <v>6</v>
      </c>
      <c r="D1850">
        <v>1787</v>
      </c>
      <c r="E1850" t="s">
        <v>520</v>
      </c>
    </row>
    <row r="1851" spans="1:5" x14ac:dyDescent="0.35">
      <c r="A1851" t="s">
        <v>582</v>
      </c>
      <c r="B1851" t="s">
        <v>3136</v>
      </c>
      <c r="C1851">
        <v>6</v>
      </c>
      <c r="D1851">
        <v>1788</v>
      </c>
      <c r="E1851" t="s">
        <v>522</v>
      </c>
    </row>
    <row r="1852" spans="1:5" x14ac:dyDescent="0.35">
      <c r="A1852" t="s">
        <v>582</v>
      </c>
      <c r="B1852" t="s">
        <v>3137</v>
      </c>
      <c r="C1852">
        <v>6</v>
      </c>
      <c r="D1852">
        <v>1789</v>
      </c>
      <c r="E1852" t="s">
        <v>2773</v>
      </c>
    </row>
    <row r="1853" spans="1:5" x14ac:dyDescent="0.35">
      <c r="A1853" t="s">
        <v>582</v>
      </c>
      <c r="B1853" t="s">
        <v>3138</v>
      </c>
      <c r="C1853">
        <v>6</v>
      </c>
      <c r="D1853">
        <v>1790</v>
      </c>
      <c r="E1853" t="s">
        <v>2775</v>
      </c>
    </row>
    <row r="1854" spans="1:5" x14ac:dyDescent="0.35">
      <c r="A1854" t="s">
        <v>582</v>
      </c>
      <c r="B1854" t="s">
        <v>3139</v>
      </c>
      <c r="C1854">
        <v>6</v>
      </c>
      <c r="D1854">
        <v>1791</v>
      </c>
      <c r="E1854" t="s">
        <v>1059</v>
      </c>
    </row>
    <row r="1855" spans="1:5" x14ac:dyDescent="0.35">
      <c r="A1855" t="s">
        <v>582</v>
      </c>
      <c r="B1855" t="s">
        <v>3140</v>
      </c>
      <c r="C1855">
        <v>6</v>
      </c>
      <c r="D1855">
        <v>1792</v>
      </c>
      <c r="E1855" t="s">
        <v>2784</v>
      </c>
    </row>
    <row r="1856" spans="1:5" x14ac:dyDescent="0.35">
      <c r="A1856" t="s">
        <v>582</v>
      </c>
      <c r="B1856" t="s">
        <v>3141</v>
      </c>
      <c r="C1856">
        <v>6</v>
      </c>
      <c r="D1856">
        <v>1793</v>
      </c>
      <c r="E1856" t="s">
        <v>524</v>
      </c>
    </row>
    <row r="1857" spans="1:5" x14ac:dyDescent="0.35">
      <c r="A1857" t="s">
        <v>582</v>
      </c>
      <c r="B1857" t="s">
        <v>3142</v>
      </c>
      <c r="C1857">
        <v>6</v>
      </c>
      <c r="D1857">
        <v>1794</v>
      </c>
      <c r="E1857" t="s">
        <v>3143</v>
      </c>
    </row>
    <row r="1858" spans="1:5" x14ac:dyDescent="0.35">
      <c r="A1858" t="s">
        <v>582</v>
      </c>
      <c r="B1858" t="s">
        <v>3144</v>
      </c>
      <c r="C1858">
        <v>6</v>
      </c>
      <c r="D1858">
        <v>1795</v>
      </c>
      <c r="E1858" t="s">
        <v>2771</v>
      </c>
    </row>
    <row r="1859" spans="1:5" x14ac:dyDescent="0.35">
      <c r="A1859" t="s">
        <v>582</v>
      </c>
      <c r="B1859" t="s">
        <v>3145</v>
      </c>
      <c r="C1859">
        <v>6</v>
      </c>
      <c r="D1859">
        <v>1796</v>
      </c>
      <c r="E1859" t="s">
        <v>3146</v>
      </c>
    </row>
    <row r="1860" spans="1:5" x14ac:dyDescent="0.35">
      <c r="A1860" t="s">
        <v>582</v>
      </c>
      <c r="B1860" t="s">
        <v>3147</v>
      </c>
      <c r="C1860">
        <v>6</v>
      </c>
      <c r="D1860">
        <v>1797</v>
      </c>
      <c r="E1860" t="s">
        <v>3148</v>
      </c>
    </row>
    <row r="1861" spans="1:5" x14ac:dyDescent="0.35">
      <c r="A1861" t="s">
        <v>582</v>
      </c>
      <c r="B1861" t="s">
        <v>3149</v>
      </c>
      <c r="C1861">
        <v>6</v>
      </c>
      <c r="D1861">
        <v>2098</v>
      </c>
      <c r="E1861" t="s">
        <v>526</v>
      </c>
    </row>
    <row r="1862" spans="1:5" x14ac:dyDescent="0.35">
      <c r="A1862" t="s">
        <v>582</v>
      </c>
      <c r="B1862" t="s">
        <v>3150</v>
      </c>
      <c r="C1862">
        <v>6</v>
      </c>
      <c r="D1862">
        <v>2108</v>
      </c>
      <c r="E1862" t="s">
        <v>2790</v>
      </c>
    </row>
    <row r="1863" spans="1:5" x14ac:dyDescent="0.35">
      <c r="A1863" t="s">
        <v>582</v>
      </c>
      <c r="B1863" t="s">
        <v>3151</v>
      </c>
      <c r="C1863">
        <v>6</v>
      </c>
      <c r="D1863">
        <v>2120</v>
      </c>
      <c r="E1863" t="s">
        <v>2997</v>
      </c>
    </row>
    <row r="1864" spans="1:5" x14ac:dyDescent="0.35">
      <c r="A1864" t="s">
        <v>582</v>
      </c>
      <c r="B1864" t="s">
        <v>3152</v>
      </c>
      <c r="C1864">
        <v>6</v>
      </c>
      <c r="D1864">
        <v>2170</v>
      </c>
      <c r="E1864" t="s">
        <v>177</v>
      </c>
    </row>
    <row r="1865" spans="1:5" x14ac:dyDescent="0.35">
      <c r="A1865" t="s">
        <v>582</v>
      </c>
      <c r="B1865" t="s">
        <v>3153</v>
      </c>
      <c r="C1865">
        <v>6</v>
      </c>
      <c r="D1865">
        <v>2171</v>
      </c>
      <c r="E1865" t="s">
        <v>32</v>
      </c>
    </row>
    <row r="1866" spans="1:5" x14ac:dyDescent="0.35">
      <c r="A1866" t="s">
        <v>582</v>
      </c>
      <c r="B1866" t="s">
        <v>3154</v>
      </c>
      <c r="C1866">
        <v>6</v>
      </c>
      <c r="D1866">
        <v>2172</v>
      </c>
      <c r="E1866" t="s">
        <v>33</v>
      </c>
    </row>
    <row r="1867" spans="1:5" x14ac:dyDescent="0.35">
      <c r="A1867" t="s">
        <v>579</v>
      </c>
      <c r="B1867" t="s">
        <v>3155</v>
      </c>
      <c r="C1867">
        <v>5</v>
      </c>
      <c r="D1867">
        <v>1798</v>
      </c>
      <c r="E1867" t="s">
        <v>3156</v>
      </c>
    </row>
    <row r="1868" spans="1:5" x14ac:dyDescent="0.35">
      <c r="A1868" t="s">
        <v>582</v>
      </c>
      <c r="B1868" t="s">
        <v>3157</v>
      </c>
      <c r="C1868">
        <v>6</v>
      </c>
      <c r="D1868">
        <v>1799</v>
      </c>
      <c r="E1868" t="s">
        <v>1502</v>
      </c>
    </row>
    <row r="1869" spans="1:5" x14ac:dyDescent="0.35">
      <c r="A1869" t="s">
        <v>582</v>
      </c>
      <c r="B1869" t="s">
        <v>3158</v>
      </c>
      <c r="C1869">
        <v>6</v>
      </c>
      <c r="D1869">
        <v>1800</v>
      </c>
      <c r="E1869" t="s">
        <v>417</v>
      </c>
    </row>
    <row r="1870" spans="1:5" x14ac:dyDescent="0.35">
      <c r="A1870" t="s">
        <v>582</v>
      </c>
      <c r="B1870" t="s">
        <v>3159</v>
      </c>
      <c r="C1870">
        <v>6</v>
      </c>
      <c r="D1870">
        <v>1801</v>
      </c>
      <c r="E1870" t="s">
        <v>1503</v>
      </c>
    </row>
    <row r="1871" spans="1:5" x14ac:dyDescent="0.35">
      <c r="A1871" t="s">
        <v>582</v>
      </c>
      <c r="B1871" t="s">
        <v>3160</v>
      </c>
      <c r="C1871">
        <v>6</v>
      </c>
      <c r="D1871">
        <v>2055</v>
      </c>
      <c r="E1871" t="s">
        <v>3161</v>
      </c>
    </row>
    <row r="1872" spans="1:5" x14ac:dyDescent="0.35">
      <c r="A1872" t="s">
        <v>582</v>
      </c>
      <c r="B1872" t="s">
        <v>3162</v>
      </c>
      <c r="C1872">
        <v>6</v>
      </c>
      <c r="D1872">
        <v>2056</v>
      </c>
      <c r="E1872" t="s">
        <v>3163</v>
      </c>
    </row>
    <row r="1873" spans="1:5" x14ac:dyDescent="0.35">
      <c r="A1873" t="s">
        <v>582</v>
      </c>
      <c r="B1873" t="s">
        <v>3164</v>
      </c>
      <c r="C1873">
        <v>6</v>
      </c>
      <c r="D1873">
        <v>2057</v>
      </c>
      <c r="E1873" t="s">
        <v>1669</v>
      </c>
    </row>
    <row r="1874" spans="1:5" x14ac:dyDescent="0.35">
      <c r="A1874" t="s">
        <v>582</v>
      </c>
      <c r="B1874" t="s">
        <v>3165</v>
      </c>
      <c r="C1874">
        <v>6</v>
      </c>
      <c r="D1874">
        <v>1944</v>
      </c>
      <c r="E1874" t="s">
        <v>3166</v>
      </c>
    </row>
    <row r="1875" spans="1:5" x14ac:dyDescent="0.35">
      <c r="A1875" t="s">
        <v>582</v>
      </c>
      <c r="B1875" t="s">
        <v>3167</v>
      </c>
      <c r="C1875">
        <v>6</v>
      </c>
      <c r="D1875">
        <v>1969</v>
      </c>
      <c r="E1875" t="s">
        <v>3168</v>
      </c>
    </row>
    <row r="1876" spans="1:5" x14ac:dyDescent="0.35">
      <c r="A1876" t="s">
        <v>582</v>
      </c>
      <c r="B1876" t="s">
        <v>3169</v>
      </c>
      <c r="C1876">
        <v>6</v>
      </c>
      <c r="D1876">
        <v>2105</v>
      </c>
      <c r="E1876" t="s">
        <v>1506</v>
      </c>
    </row>
    <row r="1877" spans="1:5" x14ac:dyDescent="0.35">
      <c r="A1877" t="s">
        <v>582</v>
      </c>
      <c r="B1877" t="s">
        <v>3170</v>
      </c>
      <c r="C1877">
        <v>6</v>
      </c>
      <c r="D1877">
        <v>2114</v>
      </c>
      <c r="E1877" t="s">
        <v>1508</v>
      </c>
    </row>
    <row r="1878" spans="1:5" x14ac:dyDescent="0.35">
      <c r="A1878" t="s">
        <v>579</v>
      </c>
      <c r="B1878" t="s">
        <v>3171</v>
      </c>
      <c r="C1878">
        <v>5</v>
      </c>
      <c r="D1878">
        <v>1802</v>
      </c>
      <c r="E1878" t="s">
        <v>97</v>
      </c>
    </row>
    <row r="1879" spans="1:5" x14ac:dyDescent="0.35">
      <c r="A1879" t="s">
        <v>582</v>
      </c>
      <c r="B1879" t="s">
        <v>3172</v>
      </c>
      <c r="C1879">
        <v>6</v>
      </c>
      <c r="D1879">
        <v>1803</v>
      </c>
      <c r="E1879" t="s">
        <v>2861</v>
      </c>
    </row>
    <row r="1880" spans="1:5" x14ac:dyDescent="0.35">
      <c r="A1880" t="s">
        <v>582</v>
      </c>
      <c r="B1880" t="s">
        <v>3173</v>
      </c>
      <c r="C1880">
        <v>6</v>
      </c>
      <c r="D1880">
        <v>1804</v>
      </c>
      <c r="E1880" t="s">
        <v>3174</v>
      </c>
    </row>
    <row r="1881" spans="1:5" x14ac:dyDescent="0.35">
      <c r="A1881" t="s">
        <v>582</v>
      </c>
      <c r="B1881" t="s">
        <v>3175</v>
      </c>
      <c r="C1881">
        <v>6</v>
      </c>
      <c r="D1881">
        <v>1805</v>
      </c>
      <c r="E1881" t="s">
        <v>3176</v>
      </c>
    </row>
    <row r="1882" spans="1:5" x14ac:dyDescent="0.35">
      <c r="A1882" t="s">
        <v>582</v>
      </c>
      <c r="B1882" t="s">
        <v>3177</v>
      </c>
      <c r="C1882">
        <v>6</v>
      </c>
      <c r="D1882">
        <v>1806</v>
      </c>
      <c r="E1882" t="s">
        <v>3178</v>
      </c>
    </row>
    <row r="1883" spans="1:5" x14ac:dyDescent="0.35">
      <c r="A1883" t="s">
        <v>582</v>
      </c>
      <c r="B1883" t="s">
        <v>3179</v>
      </c>
      <c r="C1883">
        <v>6</v>
      </c>
      <c r="D1883">
        <v>1807</v>
      </c>
      <c r="E1883" t="s">
        <v>2867</v>
      </c>
    </row>
    <row r="1884" spans="1:5" x14ac:dyDescent="0.35">
      <c r="A1884" t="s">
        <v>582</v>
      </c>
      <c r="B1884" t="s">
        <v>3180</v>
      </c>
      <c r="C1884">
        <v>6</v>
      </c>
      <c r="D1884">
        <v>1808</v>
      </c>
      <c r="E1884" t="s">
        <v>41</v>
      </c>
    </row>
    <row r="1885" spans="1:5" x14ac:dyDescent="0.35">
      <c r="A1885" t="s">
        <v>582</v>
      </c>
      <c r="B1885" t="s">
        <v>3181</v>
      </c>
      <c r="C1885">
        <v>6</v>
      </c>
      <c r="D1885">
        <v>1809</v>
      </c>
      <c r="E1885" t="s">
        <v>3027</v>
      </c>
    </row>
    <row r="1886" spans="1:5" x14ac:dyDescent="0.35">
      <c r="A1886" t="s">
        <v>582</v>
      </c>
      <c r="B1886" t="s">
        <v>3182</v>
      </c>
      <c r="C1886">
        <v>6</v>
      </c>
      <c r="D1886">
        <v>1810</v>
      </c>
      <c r="E1886" t="s">
        <v>2754</v>
      </c>
    </row>
    <row r="1887" spans="1:5" x14ac:dyDescent="0.35">
      <c r="A1887" t="s">
        <v>582</v>
      </c>
      <c r="B1887" t="s">
        <v>3183</v>
      </c>
      <c r="C1887">
        <v>6</v>
      </c>
      <c r="D1887">
        <v>1811</v>
      </c>
      <c r="E1887" t="s">
        <v>3184</v>
      </c>
    </row>
    <row r="1888" spans="1:5" x14ac:dyDescent="0.35">
      <c r="A1888" t="s">
        <v>579</v>
      </c>
      <c r="B1888" t="s">
        <v>3185</v>
      </c>
      <c r="C1888">
        <v>5</v>
      </c>
      <c r="D1888">
        <v>1812</v>
      </c>
      <c r="E1888" t="s">
        <v>2889</v>
      </c>
    </row>
    <row r="1889" spans="1:5" x14ac:dyDescent="0.35">
      <c r="A1889" t="s">
        <v>582</v>
      </c>
      <c r="B1889" t="s">
        <v>3186</v>
      </c>
      <c r="C1889">
        <v>6</v>
      </c>
      <c r="D1889">
        <v>1813</v>
      </c>
      <c r="E1889" t="s">
        <v>2891</v>
      </c>
    </row>
    <row r="1890" spans="1:5" x14ac:dyDescent="0.35">
      <c r="A1890" t="s">
        <v>582</v>
      </c>
      <c r="B1890" t="s">
        <v>3187</v>
      </c>
      <c r="C1890">
        <v>6</v>
      </c>
      <c r="D1890">
        <v>1814</v>
      </c>
      <c r="E1890" t="s">
        <v>2893</v>
      </c>
    </row>
    <row r="1891" spans="1:5" x14ac:dyDescent="0.35">
      <c r="A1891" t="s">
        <v>579</v>
      </c>
      <c r="B1891" t="s">
        <v>3188</v>
      </c>
      <c r="C1891">
        <v>5</v>
      </c>
      <c r="D1891">
        <v>1815</v>
      </c>
      <c r="E1891" t="s">
        <v>111</v>
      </c>
    </row>
    <row r="1892" spans="1:5" x14ac:dyDescent="0.35">
      <c r="A1892" t="s">
        <v>582</v>
      </c>
      <c r="B1892" t="s">
        <v>3189</v>
      </c>
      <c r="C1892">
        <v>6</v>
      </c>
      <c r="D1892">
        <v>1816</v>
      </c>
      <c r="E1892" t="s">
        <v>40</v>
      </c>
    </row>
    <row r="1893" spans="1:5" x14ac:dyDescent="0.35">
      <c r="A1893" t="s">
        <v>582</v>
      </c>
      <c r="B1893" t="s">
        <v>3190</v>
      </c>
      <c r="C1893">
        <v>6</v>
      </c>
      <c r="D1893">
        <v>1817</v>
      </c>
      <c r="E1893" t="s">
        <v>38</v>
      </c>
    </row>
    <row r="1894" spans="1:5" x14ac:dyDescent="0.35">
      <c r="A1894" t="s">
        <v>582</v>
      </c>
      <c r="B1894" t="s">
        <v>3191</v>
      </c>
      <c r="C1894">
        <v>6</v>
      </c>
      <c r="D1894">
        <v>1818</v>
      </c>
      <c r="E1894" t="s">
        <v>2529</v>
      </c>
    </row>
    <row r="1895" spans="1:5" x14ac:dyDescent="0.35">
      <c r="A1895" t="s">
        <v>582</v>
      </c>
      <c r="B1895" t="s">
        <v>3192</v>
      </c>
      <c r="C1895">
        <v>6</v>
      </c>
      <c r="D1895">
        <v>1819</v>
      </c>
      <c r="E1895" t="s">
        <v>2873</v>
      </c>
    </row>
    <row r="1896" spans="1:5" x14ac:dyDescent="0.35">
      <c r="A1896" t="s">
        <v>582</v>
      </c>
      <c r="B1896" t="s">
        <v>3193</v>
      </c>
      <c r="C1896">
        <v>6</v>
      </c>
      <c r="D1896">
        <v>1820</v>
      </c>
      <c r="E1896" t="s">
        <v>2875</v>
      </c>
    </row>
    <row r="1897" spans="1:5" x14ac:dyDescent="0.35">
      <c r="A1897" t="s">
        <v>582</v>
      </c>
      <c r="B1897" t="s">
        <v>3194</v>
      </c>
      <c r="C1897">
        <v>6</v>
      </c>
      <c r="D1897">
        <v>1821</v>
      </c>
      <c r="E1897" t="s">
        <v>3044</v>
      </c>
    </row>
    <row r="1898" spans="1:5" x14ac:dyDescent="0.35">
      <c r="A1898" t="s">
        <v>582</v>
      </c>
      <c r="B1898" t="s">
        <v>3195</v>
      </c>
      <c r="C1898">
        <v>6</v>
      </c>
      <c r="D1898">
        <v>1822</v>
      </c>
      <c r="E1898" t="s">
        <v>2879</v>
      </c>
    </row>
    <row r="1899" spans="1:5" x14ac:dyDescent="0.35">
      <c r="A1899" t="s">
        <v>579</v>
      </c>
      <c r="B1899" t="s">
        <v>3196</v>
      </c>
      <c r="C1899">
        <v>5</v>
      </c>
      <c r="D1899">
        <v>1823</v>
      </c>
      <c r="E1899" t="s">
        <v>2883</v>
      </c>
    </row>
    <row r="1900" spans="1:5" x14ac:dyDescent="0.35">
      <c r="A1900" t="s">
        <v>582</v>
      </c>
      <c r="B1900" t="s">
        <v>3197</v>
      </c>
      <c r="C1900">
        <v>6</v>
      </c>
      <c r="D1900">
        <v>1824</v>
      </c>
      <c r="E1900" t="s">
        <v>2885</v>
      </c>
    </row>
    <row r="1901" spans="1:5" x14ac:dyDescent="0.35">
      <c r="A1901" t="s">
        <v>582</v>
      </c>
      <c r="B1901" t="s">
        <v>3198</v>
      </c>
      <c r="C1901">
        <v>5</v>
      </c>
      <c r="D1901">
        <v>248</v>
      </c>
      <c r="E1901" t="s">
        <v>3199</v>
      </c>
    </row>
    <row r="1902" spans="1:5" x14ac:dyDescent="0.35">
      <c r="A1902" t="s">
        <v>579</v>
      </c>
      <c r="B1902">
        <v>5</v>
      </c>
      <c r="C1902">
        <v>5</v>
      </c>
      <c r="D1902">
        <v>18800</v>
      </c>
      <c r="E1902" t="s">
        <v>3200</v>
      </c>
    </row>
    <row r="1903" spans="1:5" x14ac:dyDescent="0.35">
      <c r="A1903" t="s">
        <v>579</v>
      </c>
      <c r="B1903" t="s">
        <v>3201</v>
      </c>
      <c r="C1903">
        <v>2</v>
      </c>
      <c r="D1903">
        <v>1825</v>
      </c>
      <c r="E1903" t="s">
        <v>3202</v>
      </c>
    </row>
    <row r="1904" spans="1:5" x14ac:dyDescent="0.35">
      <c r="A1904" t="s">
        <v>579</v>
      </c>
      <c r="B1904" t="s">
        <v>3203</v>
      </c>
      <c r="C1904">
        <v>3</v>
      </c>
      <c r="D1904">
        <v>1826</v>
      </c>
      <c r="E1904" t="s">
        <v>3204</v>
      </c>
    </row>
    <row r="1905" spans="1:5" x14ac:dyDescent="0.35">
      <c r="A1905" t="s">
        <v>579</v>
      </c>
      <c r="B1905" t="s">
        <v>3205</v>
      </c>
      <c r="C1905">
        <v>4</v>
      </c>
      <c r="D1905">
        <v>1827</v>
      </c>
      <c r="E1905" t="s">
        <v>3200</v>
      </c>
    </row>
    <row r="1906" spans="1:5" x14ac:dyDescent="0.35">
      <c r="A1906" t="s">
        <v>579</v>
      </c>
      <c r="B1906" t="s">
        <v>3206</v>
      </c>
      <c r="C1906">
        <v>5</v>
      </c>
      <c r="D1906">
        <v>1828</v>
      </c>
      <c r="E1906" t="s">
        <v>3200</v>
      </c>
    </row>
    <row r="1907" spans="1:5" x14ac:dyDescent="0.35">
      <c r="A1907" t="s">
        <v>582</v>
      </c>
      <c r="B1907" t="s">
        <v>3207</v>
      </c>
      <c r="C1907">
        <v>6</v>
      </c>
      <c r="D1907">
        <v>1829</v>
      </c>
      <c r="E1907" t="s">
        <v>3208</v>
      </c>
    </row>
    <row r="1908" spans="1:5" x14ac:dyDescent="0.35">
      <c r="A1908" t="s">
        <v>582</v>
      </c>
      <c r="B1908" t="s">
        <v>3209</v>
      </c>
      <c r="C1908">
        <v>6</v>
      </c>
      <c r="D1908">
        <v>1830</v>
      </c>
      <c r="E1908" t="s">
        <v>3210</v>
      </c>
    </row>
    <row r="1909" spans="1:5" x14ac:dyDescent="0.35">
      <c r="A1909" t="s">
        <v>582</v>
      </c>
      <c r="B1909" t="s">
        <v>3211</v>
      </c>
      <c r="C1909">
        <v>6</v>
      </c>
      <c r="D1909">
        <v>1831</v>
      </c>
      <c r="E1909" t="s">
        <v>3212</v>
      </c>
    </row>
    <row r="1910" spans="1:5" x14ac:dyDescent="0.35">
      <c r="A1910" t="s">
        <v>579</v>
      </c>
      <c r="B1910" t="s">
        <v>3213</v>
      </c>
      <c r="C1910">
        <v>2</v>
      </c>
      <c r="D1910">
        <v>1832</v>
      </c>
      <c r="E1910" t="s">
        <v>3214</v>
      </c>
    </row>
    <row r="1911" spans="1:5" x14ac:dyDescent="0.35">
      <c r="A1911" t="s">
        <v>579</v>
      </c>
      <c r="B1911" t="s">
        <v>3215</v>
      </c>
      <c r="C1911">
        <v>3</v>
      </c>
      <c r="D1911">
        <v>1833</v>
      </c>
      <c r="E1911" t="s">
        <v>3216</v>
      </c>
    </row>
    <row r="1912" spans="1:5" x14ac:dyDescent="0.35">
      <c r="A1912" t="s">
        <v>579</v>
      </c>
      <c r="B1912" t="s">
        <v>3217</v>
      </c>
      <c r="C1912">
        <v>4</v>
      </c>
      <c r="D1912">
        <v>1834</v>
      </c>
      <c r="E1912" t="s">
        <v>3200</v>
      </c>
    </row>
    <row r="1913" spans="1:5" x14ac:dyDescent="0.35">
      <c r="A1913" t="s">
        <v>579</v>
      </c>
      <c r="B1913" t="s">
        <v>3218</v>
      </c>
      <c r="C1913">
        <v>5</v>
      </c>
      <c r="D1913">
        <v>1835</v>
      </c>
      <c r="E1913" t="s">
        <v>3200</v>
      </c>
    </row>
    <row r="1914" spans="1:5" x14ac:dyDescent="0.35">
      <c r="A1914" t="s">
        <v>582</v>
      </c>
      <c r="B1914" t="s">
        <v>3219</v>
      </c>
      <c r="C1914">
        <v>6</v>
      </c>
      <c r="D1914">
        <v>1836</v>
      </c>
      <c r="E1914" t="s">
        <v>3208</v>
      </c>
    </row>
    <row r="1915" spans="1:5" x14ac:dyDescent="0.35">
      <c r="A1915" t="s">
        <v>582</v>
      </c>
      <c r="B1915" t="s">
        <v>3220</v>
      </c>
      <c r="C1915">
        <v>6</v>
      </c>
      <c r="D1915">
        <v>1837</v>
      </c>
      <c r="E1915" t="s">
        <v>3210</v>
      </c>
    </row>
    <row r="1916" spans="1:5" x14ac:dyDescent="0.35">
      <c r="A1916" t="s">
        <v>582</v>
      </c>
      <c r="B1916" t="s">
        <v>3221</v>
      </c>
      <c r="C1916">
        <v>6</v>
      </c>
      <c r="D1916">
        <v>1838</v>
      </c>
      <c r="E1916" t="s">
        <v>3212</v>
      </c>
    </row>
    <row r="1917" spans="1:5" x14ac:dyDescent="0.35">
      <c r="A1917" t="s">
        <v>579</v>
      </c>
      <c r="B1917" t="s">
        <v>3222</v>
      </c>
      <c r="C1917">
        <v>2</v>
      </c>
      <c r="D1917">
        <v>1839</v>
      </c>
      <c r="E1917" t="s">
        <v>3223</v>
      </c>
    </row>
    <row r="1918" spans="1:5" x14ac:dyDescent="0.35">
      <c r="A1918" t="s">
        <v>579</v>
      </c>
      <c r="B1918" t="s">
        <v>3224</v>
      </c>
      <c r="C1918">
        <v>3</v>
      </c>
      <c r="D1918">
        <v>1840</v>
      </c>
      <c r="E1918" t="s">
        <v>3225</v>
      </c>
    </row>
    <row r="1919" spans="1:5" x14ac:dyDescent="0.35">
      <c r="A1919" t="s">
        <v>579</v>
      </c>
      <c r="B1919" t="s">
        <v>3226</v>
      </c>
      <c r="C1919">
        <v>4</v>
      </c>
      <c r="D1919">
        <v>1841</v>
      </c>
      <c r="E1919" t="s">
        <v>3200</v>
      </c>
    </row>
    <row r="1920" spans="1:5" x14ac:dyDescent="0.35">
      <c r="A1920" t="s">
        <v>579</v>
      </c>
      <c r="B1920" t="s">
        <v>3227</v>
      </c>
      <c r="C1920">
        <v>5</v>
      </c>
      <c r="D1920">
        <v>1842</v>
      </c>
      <c r="E1920" t="s">
        <v>3200</v>
      </c>
    </row>
    <row r="1921" spans="1:5" x14ac:dyDescent="0.35">
      <c r="A1921" t="s">
        <v>582</v>
      </c>
      <c r="B1921" t="s">
        <v>3228</v>
      </c>
      <c r="C1921">
        <v>6</v>
      </c>
      <c r="D1921">
        <v>1843</v>
      </c>
      <c r="E1921" t="s">
        <v>3208</v>
      </c>
    </row>
    <row r="1922" spans="1:5" x14ac:dyDescent="0.35">
      <c r="A1922" t="s">
        <v>582</v>
      </c>
      <c r="B1922" t="s">
        <v>3229</v>
      </c>
      <c r="C1922">
        <v>6</v>
      </c>
      <c r="D1922">
        <v>1844</v>
      </c>
      <c r="E1922" t="s">
        <v>3210</v>
      </c>
    </row>
    <row r="1923" spans="1:5" x14ac:dyDescent="0.35">
      <c r="A1923" t="s">
        <v>582</v>
      </c>
      <c r="B1923" t="s">
        <v>3230</v>
      </c>
      <c r="C1923">
        <v>6</v>
      </c>
      <c r="D1923">
        <v>1845</v>
      </c>
      <c r="E1923" t="s">
        <v>3212</v>
      </c>
    </row>
    <row r="1924" spans="1:5" x14ac:dyDescent="0.35">
      <c r="A1924" t="s">
        <v>579</v>
      </c>
      <c r="B1924">
        <v>6</v>
      </c>
      <c r="C1924">
        <v>6</v>
      </c>
      <c r="D1924">
        <v>18001</v>
      </c>
      <c r="E1924" t="s">
        <v>3200</v>
      </c>
    </row>
    <row r="1925" spans="1:5" x14ac:dyDescent="0.35">
      <c r="A1925" t="s">
        <v>579</v>
      </c>
      <c r="B1925" t="s">
        <v>3231</v>
      </c>
      <c r="C1925">
        <v>2</v>
      </c>
      <c r="D1925">
        <v>1846</v>
      </c>
      <c r="E1925" t="s">
        <v>3200</v>
      </c>
    </row>
    <row r="1926" spans="1:5" x14ac:dyDescent="0.35">
      <c r="A1926" t="s">
        <v>579</v>
      </c>
      <c r="B1926" t="s">
        <v>3232</v>
      </c>
      <c r="C1926">
        <v>3</v>
      </c>
      <c r="D1926">
        <v>1847</v>
      </c>
      <c r="E1926" t="s">
        <v>3200</v>
      </c>
    </row>
    <row r="1927" spans="1:5" x14ac:dyDescent="0.35">
      <c r="A1927" t="s">
        <v>579</v>
      </c>
      <c r="B1927" t="s">
        <v>3233</v>
      </c>
      <c r="C1927">
        <v>4</v>
      </c>
      <c r="D1927">
        <v>1848</v>
      </c>
      <c r="E1927" t="s">
        <v>3200</v>
      </c>
    </row>
    <row r="1928" spans="1:5" x14ac:dyDescent="0.35">
      <c r="A1928" t="s">
        <v>579</v>
      </c>
      <c r="B1928" t="s">
        <v>3234</v>
      </c>
      <c r="C1928">
        <v>5</v>
      </c>
      <c r="D1928">
        <v>1849</v>
      </c>
      <c r="E1928" t="s">
        <v>3235</v>
      </c>
    </row>
    <row r="1929" spans="1:5" x14ac:dyDescent="0.35">
      <c r="A1929" t="s">
        <v>582</v>
      </c>
      <c r="B1929" t="s">
        <v>3236</v>
      </c>
      <c r="C1929">
        <v>6</v>
      </c>
      <c r="D1929">
        <v>1850</v>
      </c>
      <c r="E1929" t="s">
        <v>3237</v>
      </c>
    </row>
    <row r="1930" spans="1:5" x14ac:dyDescent="0.35">
      <c r="A1930" t="s">
        <v>582</v>
      </c>
      <c r="B1930" t="s">
        <v>3238</v>
      </c>
      <c r="C1930">
        <v>6</v>
      </c>
      <c r="D1930">
        <v>1851</v>
      </c>
      <c r="E1930" t="s">
        <v>3239</v>
      </c>
    </row>
    <row r="1931" spans="1:5" x14ac:dyDescent="0.35">
      <c r="A1931" t="s">
        <v>582</v>
      </c>
      <c r="B1931" t="s">
        <v>3240</v>
      </c>
      <c r="C1931">
        <v>6</v>
      </c>
      <c r="D1931">
        <v>1852</v>
      </c>
      <c r="E1931" t="s">
        <v>3241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AQ63"/>
  <sheetViews>
    <sheetView showGridLines="0" topLeftCell="A16" zoomScale="85" zoomScaleNormal="85" workbookViewId="0">
      <selection activeCell="E11" sqref="E11"/>
    </sheetView>
  </sheetViews>
  <sheetFormatPr defaultRowHeight="14.5" x14ac:dyDescent="0.35"/>
  <cols>
    <col min="2" max="2" width="9.26953125" customWidth="1"/>
    <col min="3" max="3" width="53.26953125" bestFit="1" customWidth="1"/>
    <col min="4" max="4" width="9.1796875" style="16"/>
    <col min="5" max="6" width="14" customWidth="1"/>
    <col min="7" max="7" width="16.26953125" bestFit="1" customWidth="1"/>
    <col min="8" max="9" width="14" customWidth="1"/>
    <col min="10" max="10" width="16.26953125" bestFit="1" customWidth="1"/>
    <col min="11" max="12" width="14" customWidth="1"/>
    <col min="13" max="13" width="16.26953125" bestFit="1" customWidth="1"/>
    <col min="14" max="15" width="14" customWidth="1"/>
    <col min="16" max="16" width="16.26953125" bestFit="1" customWidth="1"/>
    <col min="17" max="18" width="14" customWidth="1"/>
    <col min="19" max="19" width="16.26953125" bestFit="1" customWidth="1"/>
    <col min="20" max="21" width="14" customWidth="1"/>
    <col min="22" max="22" width="16.26953125" bestFit="1" customWidth="1"/>
    <col min="23" max="24" width="14" customWidth="1"/>
    <col min="25" max="25" width="16.26953125" bestFit="1" customWidth="1"/>
    <col min="26" max="27" width="14" customWidth="1"/>
    <col min="28" max="28" width="16.26953125" bestFit="1" customWidth="1"/>
    <col min="29" max="30" width="14" customWidth="1"/>
    <col min="31" max="31" width="16.26953125" bestFit="1" customWidth="1"/>
    <col min="32" max="33" width="14" customWidth="1"/>
    <col min="34" max="34" width="16.26953125" bestFit="1" customWidth="1"/>
    <col min="35" max="36" width="14" customWidth="1"/>
    <col min="37" max="37" width="16.26953125" bestFit="1" customWidth="1"/>
    <col min="38" max="39" width="14" customWidth="1"/>
    <col min="40" max="40" width="16.26953125" bestFit="1" customWidth="1"/>
    <col min="41" max="41" width="13.81640625" bestFit="1" customWidth="1"/>
    <col min="42" max="42" width="12.7265625" bestFit="1" customWidth="1"/>
    <col min="43" max="43" width="16.26953125" bestFit="1" customWidth="1"/>
  </cols>
  <sheetData>
    <row r="1" spans="1:43" x14ac:dyDescent="0.35">
      <c r="E1" s="12">
        <v>44256</v>
      </c>
      <c r="H1" s="12"/>
      <c r="K1" s="12"/>
      <c r="N1" s="12"/>
      <c r="Q1" s="12"/>
      <c r="T1" s="12"/>
      <c r="W1" s="12"/>
      <c r="Z1" s="12"/>
      <c r="AC1" s="12"/>
      <c r="AF1" s="12"/>
      <c r="AI1" s="12"/>
      <c r="AL1" s="12"/>
    </row>
    <row r="4" spans="1:43" x14ac:dyDescent="0.35">
      <c r="A4" t="s">
        <v>3242</v>
      </c>
    </row>
    <row r="5" spans="1:43" s="36" customFormat="1" ht="25.5" customHeight="1" x14ac:dyDescent="0.35">
      <c r="D5" s="37"/>
      <c r="E5" s="92" t="s">
        <v>44</v>
      </c>
      <c r="F5" s="92"/>
      <c r="G5" s="93"/>
      <c r="H5" s="92" t="s">
        <v>45</v>
      </c>
      <c r="I5" s="92"/>
      <c r="J5" s="93"/>
      <c r="K5" s="92" t="s">
        <v>46</v>
      </c>
      <c r="L5" s="92"/>
      <c r="M5" s="93"/>
      <c r="N5" s="92" t="s">
        <v>47</v>
      </c>
      <c r="O5" s="92"/>
      <c r="P5" s="93"/>
      <c r="Q5" s="92" t="s">
        <v>48</v>
      </c>
      <c r="R5" s="92"/>
      <c r="S5" s="93"/>
      <c r="T5" s="92" t="s">
        <v>49</v>
      </c>
      <c r="U5" s="92"/>
      <c r="V5" s="93"/>
      <c r="W5" s="92" t="s">
        <v>50</v>
      </c>
      <c r="X5" s="92"/>
      <c r="Y5" s="93"/>
      <c r="Z5" s="92" t="s">
        <v>51</v>
      </c>
      <c r="AA5" s="92"/>
      <c r="AB5" s="93"/>
      <c r="AC5" s="92" t="s">
        <v>52</v>
      </c>
      <c r="AD5" s="92"/>
      <c r="AE5" s="93"/>
      <c r="AF5" s="92" t="s">
        <v>53</v>
      </c>
      <c r="AG5" s="92"/>
      <c r="AH5" s="93"/>
      <c r="AI5" s="92" t="s">
        <v>54</v>
      </c>
      <c r="AJ5" s="92"/>
      <c r="AK5" s="93"/>
      <c r="AL5" s="92" t="s">
        <v>55</v>
      </c>
      <c r="AM5" s="92"/>
      <c r="AN5" s="93"/>
      <c r="AO5" s="94" t="s">
        <v>0</v>
      </c>
      <c r="AP5" s="92"/>
      <c r="AQ5" s="92"/>
    </row>
    <row r="6" spans="1:43" s="38" customFormat="1" ht="46.5" x14ac:dyDescent="0.35">
      <c r="B6" s="39" t="s">
        <v>8</v>
      </c>
      <c r="C6" s="39" t="s">
        <v>9</v>
      </c>
      <c r="D6" s="40"/>
      <c r="E6" s="41" t="s">
        <v>3243</v>
      </c>
      <c r="F6" s="42" t="s">
        <v>43</v>
      </c>
      <c r="G6" s="43" t="s">
        <v>3244</v>
      </c>
      <c r="H6" s="44" t="s">
        <v>3243</v>
      </c>
      <c r="I6" s="42" t="s">
        <v>43</v>
      </c>
      <c r="J6" s="45" t="s">
        <v>3244</v>
      </c>
      <c r="K6" s="44" t="s">
        <v>3243</v>
      </c>
      <c r="L6" s="42" t="s">
        <v>43</v>
      </c>
      <c r="M6" s="45" t="s">
        <v>3244</v>
      </c>
      <c r="N6" s="44" t="s">
        <v>3243</v>
      </c>
      <c r="O6" s="42" t="s">
        <v>43</v>
      </c>
      <c r="P6" s="45" t="s">
        <v>3244</v>
      </c>
      <c r="Q6" s="44" t="s">
        <v>3243</v>
      </c>
      <c r="R6" s="42" t="s">
        <v>43</v>
      </c>
      <c r="S6" s="45" t="s">
        <v>3244</v>
      </c>
      <c r="T6" s="44" t="s">
        <v>3243</v>
      </c>
      <c r="U6" s="42" t="s">
        <v>43</v>
      </c>
      <c r="V6" s="45" t="s">
        <v>3244</v>
      </c>
      <c r="W6" s="44" t="s">
        <v>3243</v>
      </c>
      <c r="X6" s="42" t="s">
        <v>43</v>
      </c>
      <c r="Y6" s="45" t="s">
        <v>3244</v>
      </c>
      <c r="Z6" s="44" t="s">
        <v>3243</v>
      </c>
      <c r="AA6" s="42" t="s">
        <v>43</v>
      </c>
      <c r="AB6" s="45" t="s">
        <v>3244</v>
      </c>
      <c r="AC6" s="44" t="s">
        <v>3243</v>
      </c>
      <c r="AD6" s="42" t="s">
        <v>43</v>
      </c>
      <c r="AE6" s="45" t="s">
        <v>3244</v>
      </c>
      <c r="AF6" s="44" t="s">
        <v>3243</v>
      </c>
      <c r="AG6" s="42" t="s">
        <v>43</v>
      </c>
      <c r="AH6" s="45" t="s">
        <v>3244</v>
      </c>
      <c r="AI6" s="44" t="s">
        <v>3243</v>
      </c>
      <c r="AJ6" s="42" t="s">
        <v>43</v>
      </c>
      <c r="AK6" s="45" t="s">
        <v>3244</v>
      </c>
      <c r="AL6" s="44" t="s">
        <v>3243</v>
      </c>
      <c r="AM6" s="42" t="s">
        <v>43</v>
      </c>
      <c r="AN6" s="45" t="s">
        <v>3244</v>
      </c>
      <c r="AO6" s="46" t="s">
        <v>3243</v>
      </c>
      <c r="AP6" s="47" t="s">
        <v>43</v>
      </c>
      <c r="AQ6" s="45" t="s">
        <v>3244</v>
      </c>
    </row>
    <row r="7" spans="1:43" ht="9.75" customHeight="1" x14ac:dyDescent="0.35">
      <c r="D7" s="19"/>
      <c r="E7" s="25"/>
      <c r="F7" s="13"/>
      <c r="G7" s="13"/>
      <c r="H7" s="28"/>
      <c r="I7" s="13"/>
      <c r="J7" s="35"/>
      <c r="K7" s="28"/>
      <c r="L7" s="13"/>
      <c r="M7" s="35"/>
      <c r="N7" s="28"/>
      <c r="O7" s="13"/>
      <c r="P7" s="35"/>
      <c r="Q7" s="28"/>
      <c r="R7" s="13"/>
      <c r="S7" s="35"/>
      <c r="T7" s="28"/>
      <c r="U7" s="13"/>
      <c r="V7" s="35"/>
      <c r="W7" s="28"/>
      <c r="X7" s="13"/>
      <c r="Y7" s="35"/>
      <c r="Z7" s="28"/>
      <c r="AA7" s="13"/>
      <c r="AB7" s="35"/>
      <c r="AC7" s="28"/>
      <c r="AD7" s="13"/>
      <c r="AE7" s="35"/>
      <c r="AF7" s="28"/>
      <c r="AG7" s="13"/>
      <c r="AH7" s="35"/>
      <c r="AI7" s="28"/>
      <c r="AJ7" s="13"/>
      <c r="AK7" s="35"/>
      <c r="AL7" s="28"/>
      <c r="AM7" s="13"/>
      <c r="AN7" s="35"/>
      <c r="AO7" s="25"/>
      <c r="AP7" s="13"/>
      <c r="AQ7" s="35"/>
    </row>
    <row r="8" spans="1:43" s="13" customFormat="1" x14ac:dyDescent="0.35">
      <c r="B8" s="21" t="s">
        <v>65</v>
      </c>
      <c r="C8" s="21"/>
      <c r="D8" s="22">
        <v>0.27343253820412339</v>
      </c>
      <c r="E8" s="23" t="e">
        <f>#REF!*$D8</f>
        <v>#REF!</v>
      </c>
      <c r="F8" s="24">
        <f>SUM(F9:F19)</f>
        <v>0</v>
      </c>
      <c r="G8" s="26" t="e">
        <f>E8-F8</f>
        <v>#REF!</v>
      </c>
      <c r="H8" s="29" t="e">
        <f>#REF!*$D8</f>
        <v>#REF!</v>
      </c>
      <c r="I8" s="24">
        <f>SUM(I9:I19)</f>
        <v>0</v>
      </c>
      <c r="J8" s="30" t="e">
        <f t="shared" ref="J8:J19" si="0">H8-I8+G8</f>
        <v>#REF!</v>
      </c>
      <c r="K8" s="29" t="e">
        <f>#REF!*$D8</f>
        <v>#REF!</v>
      </c>
      <c r="L8" s="24">
        <f>SUM(L9:L19)</f>
        <v>0</v>
      </c>
      <c r="M8" s="30" t="e">
        <f>K8-L8+J8</f>
        <v>#REF!</v>
      </c>
      <c r="N8" s="29" t="e">
        <f>#REF!*$D8</f>
        <v>#REF!</v>
      </c>
      <c r="O8" s="24">
        <f>SUM(O9:O19)</f>
        <v>0</v>
      </c>
      <c r="P8" s="30" t="e">
        <f>N8-O8+M8</f>
        <v>#REF!</v>
      </c>
      <c r="Q8" s="29" t="e">
        <f>#REF!*$D8</f>
        <v>#REF!</v>
      </c>
      <c r="R8" s="24">
        <f>SUM(R9:R19)</f>
        <v>0</v>
      </c>
      <c r="S8" s="30" t="e">
        <f>Q8-R8+P8</f>
        <v>#REF!</v>
      </c>
      <c r="T8" s="29" t="e">
        <f>#REF!*$D8</f>
        <v>#REF!</v>
      </c>
      <c r="U8" s="24">
        <f>SUM(U9:U19)</f>
        <v>0</v>
      </c>
      <c r="V8" s="30" t="e">
        <f>T8-U8+S8</f>
        <v>#REF!</v>
      </c>
      <c r="W8" s="29" t="e">
        <f>#REF!*$D8</f>
        <v>#REF!</v>
      </c>
      <c r="X8" s="24">
        <f>SUM(X9:X19)</f>
        <v>0</v>
      </c>
      <c r="Y8" s="30" t="e">
        <f>W8-X8+V8</f>
        <v>#REF!</v>
      </c>
      <c r="Z8" s="29" t="e">
        <f>#REF!*$D8</f>
        <v>#REF!</v>
      </c>
      <c r="AA8" s="24">
        <f>SUM(AA9:AA19)</f>
        <v>0</v>
      </c>
      <c r="AB8" s="30" t="e">
        <f>Z8-AA8+Y8</f>
        <v>#REF!</v>
      </c>
      <c r="AC8" s="29" t="e">
        <f>#REF!*$D8</f>
        <v>#REF!</v>
      </c>
      <c r="AD8" s="24">
        <f>SUM(AD9:AD19)</f>
        <v>0</v>
      </c>
      <c r="AE8" s="30" t="e">
        <f>AC8-AD8+AB8</f>
        <v>#REF!</v>
      </c>
      <c r="AF8" s="29" t="e">
        <f>#REF!*$D8</f>
        <v>#REF!</v>
      </c>
      <c r="AG8" s="24">
        <f>SUM(AG9:AG19)</f>
        <v>0</v>
      </c>
      <c r="AH8" s="30" t="e">
        <f>AF8-AG8+AE8</f>
        <v>#REF!</v>
      </c>
      <c r="AI8" s="29" t="e">
        <f>#REF!*$D8</f>
        <v>#REF!</v>
      </c>
      <c r="AJ8" s="24">
        <f>SUM(AJ9:AJ19)</f>
        <v>0</v>
      </c>
      <c r="AK8" s="30" t="e">
        <f>AI8-AJ8+AH8</f>
        <v>#REF!</v>
      </c>
      <c r="AL8" s="29" t="e">
        <f>#REF!*$D8</f>
        <v>#REF!</v>
      </c>
      <c r="AM8" s="24">
        <f>SUM(AM9:AM19)</f>
        <v>0</v>
      </c>
      <c r="AN8" s="30" t="e">
        <f>AL8-AM8+AK8</f>
        <v>#REF!</v>
      </c>
      <c r="AO8" s="23" t="e">
        <f t="shared" ref="AO8:AO19" si="1">SUM(AL8,AI8,AF8,AC8,Z8,W8,T8,Q8,N8,K8,H8,E8)</f>
        <v>#REF!</v>
      </c>
      <c r="AP8" s="24">
        <f t="shared" ref="AP8:AP19" si="2">SUM(AM8,AJ8,AG8,AD8,AA8,X8,U8,R8,O8,L8,I8,F8)</f>
        <v>0</v>
      </c>
      <c r="AQ8" s="30" t="e">
        <f>AO8-AP8</f>
        <v>#REF!</v>
      </c>
    </row>
    <row r="9" spans="1:43" x14ac:dyDescent="0.35">
      <c r="C9" t="s">
        <v>10</v>
      </c>
      <c r="D9" s="16">
        <v>0.13262557018754417</v>
      </c>
      <c r="E9" s="17" t="e">
        <f t="shared" ref="E9:E19" si="3">E$8*$D9</f>
        <v>#REF!</v>
      </c>
      <c r="F9" s="18">
        <f>SUMIFS('Processado 2'!$H:$H,'Processado 2'!$G:$G,'Execução do PA iNOVA'!$C9,'Processado 2'!$A:$A,2020,'Processado 2'!$B:$B,'Execução do PA iNOVA'!E$5)</f>
        <v>0</v>
      </c>
      <c r="G9" s="27" t="e">
        <f>E9-F9</f>
        <v>#REF!</v>
      </c>
      <c r="H9" s="31" t="e">
        <f>H$8*$D9</f>
        <v>#REF!</v>
      </c>
      <c r="I9" s="18">
        <f>SUMIFS('Processado 2'!$H:$H,'Processado 2'!$G:$G,'Execução do PA iNOVA'!$C9,'Processado 2'!$A:$A,2021,'Processado 2'!$B:$B,'Execução do PA iNOVA'!H$5)</f>
        <v>0</v>
      </c>
      <c r="J9" s="32" t="e">
        <f t="shared" si="0"/>
        <v>#REF!</v>
      </c>
      <c r="K9" s="31" t="e">
        <f t="shared" ref="K9:AL19" si="4">K$8*$D9</f>
        <v>#REF!</v>
      </c>
      <c r="L9" s="18">
        <f>SUMIFS('Processado 2'!$H:$H,'Processado 2'!$G:$G,'Execução do PA iNOVA'!$C9,'Processado 2'!$A:$A,2021,'Processado 2'!$B:$B,'Execução do PA iNOVA'!K$5)</f>
        <v>0</v>
      </c>
      <c r="M9" s="32" t="e">
        <f>K9-L9+J9</f>
        <v>#REF!</v>
      </c>
      <c r="N9" s="31" t="e">
        <f t="shared" si="4"/>
        <v>#REF!</v>
      </c>
      <c r="O9" s="18">
        <f>SUMIFS('Processado 2'!$H:$H,'Processado 2'!$G:$G,'Execução do PA iNOVA'!$C9,'Processado 2'!$A:$A,2021,'Processado 2'!$B:$B,'Execução do PA iNOVA'!N$5)</f>
        <v>0</v>
      </c>
      <c r="P9" s="32" t="e">
        <f>N9-O9+M9</f>
        <v>#REF!</v>
      </c>
      <c r="Q9" s="31" t="e">
        <f t="shared" si="4"/>
        <v>#REF!</v>
      </c>
      <c r="R9" s="18">
        <f>SUMIFS('Processado 2'!$H:$H,'Processado 2'!$G:$G,'Execução do PA iNOVA'!$C9,'Processado 2'!$A:$A,2021,'Processado 2'!$B:$B,'Execução do PA iNOVA'!Q$5)</f>
        <v>0</v>
      </c>
      <c r="S9" s="32" t="e">
        <f>Q9-R9+P9</f>
        <v>#REF!</v>
      </c>
      <c r="T9" s="31" t="e">
        <f t="shared" si="4"/>
        <v>#REF!</v>
      </c>
      <c r="U9" s="18">
        <f>SUMIFS('Processado 2'!$H:$H,'Processado 2'!$G:$G,'Execução do PA iNOVA'!$C9,'Processado 2'!$A:$A,2021,'Processado 2'!$B:$B,'Execução do PA iNOVA'!T$5)</f>
        <v>0</v>
      </c>
      <c r="V9" s="32" t="e">
        <f>T9-U9+S9</f>
        <v>#REF!</v>
      </c>
      <c r="W9" s="31" t="e">
        <f t="shared" si="4"/>
        <v>#REF!</v>
      </c>
      <c r="X9" s="18">
        <f>SUMIFS('Processado 2'!$H:$H,'Processado 2'!$G:$G,'Execução do PA iNOVA'!$C9,'Processado 2'!$A:$A,2021,'Processado 2'!$B:$B,'Execução do PA iNOVA'!W$5)</f>
        <v>0</v>
      </c>
      <c r="Y9" s="32" t="e">
        <f>W9-X9+V9</f>
        <v>#REF!</v>
      </c>
      <c r="Z9" s="31" t="e">
        <f t="shared" si="4"/>
        <v>#REF!</v>
      </c>
      <c r="AA9" s="18">
        <f>SUMIFS('Processado 2'!$H:$H,'Processado 2'!$G:$G,'Execução do PA iNOVA'!$C9,'Processado 2'!$A:$A,2021,'Processado 2'!$B:$B,'Execução do PA iNOVA'!Z$5)</f>
        <v>0</v>
      </c>
      <c r="AB9" s="32" t="e">
        <f>Z9-AA9+Y9</f>
        <v>#REF!</v>
      </c>
      <c r="AC9" s="31" t="e">
        <f t="shared" si="4"/>
        <v>#REF!</v>
      </c>
      <c r="AD9" s="18">
        <f>SUMIFS('Processado 2'!$H:$H,'Processado 2'!$G:$G,'Execução do PA iNOVA'!$C9,'Processado 2'!$A:$A,2021,'Processado 2'!$B:$B,'Execução do PA iNOVA'!AC$5)</f>
        <v>0</v>
      </c>
      <c r="AE9" s="32" t="e">
        <f>AC9-AD9+AB9</f>
        <v>#REF!</v>
      </c>
      <c r="AF9" s="31" t="e">
        <f t="shared" si="4"/>
        <v>#REF!</v>
      </c>
      <c r="AG9" s="18">
        <f>SUMIFS('Processado 2'!$H:$H,'Processado 2'!$G:$G,'Execução do PA iNOVA'!$C9,'Processado 2'!$A:$A,2021,'Processado 2'!$B:$B,'Execução do PA iNOVA'!AF$5)</f>
        <v>0</v>
      </c>
      <c r="AH9" s="32" t="e">
        <f>AF9-AG9+AE9</f>
        <v>#REF!</v>
      </c>
      <c r="AI9" s="31" t="e">
        <f t="shared" si="4"/>
        <v>#REF!</v>
      </c>
      <c r="AJ9" s="18">
        <f>SUMIFS('Processado 2'!$H:$H,'Processado 2'!$G:$G,'Execução do PA iNOVA'!$C9,'Processado 2'!$A:$A,2021,'Processado 2'!$B:$B,'Execução do PA iNOVA'!AI$5)</f>
        <v>0</v>
      </c>
      <c r="AK9" s="32" t="e">
        <f>AI9-AJ9+AH9</f>
        <v>#REF!</v>
      </c>
      <c r="AL9" s="31" t="e">
        <f t="shared" si="4"/>
        <v>#REF!</v>
      </c>
      <c r="AM9" s="18">
        <f>SUMIFS('Processado 2'!$H:$H,'Processado 2'!$G:$G,'Execução do PA iNOVA'!$C9,'Processado 2'!$A:$A,2021,'Processado 2'!$B:$B,'Execução do PA iNOVA'!AL$5)</f>
        <v>0</v>
      </c>
      <c r="AN9" s="32" t="e">
        <f>AL9-AM9+AK9</f>
        <v>#REF!</v>
      </c>
      <c r="AO9" s="17" t="e">
        <f t="shared" si="1"/>
        <v>#REF!</v>
      </c>
      <c r="AP9" s="18">
        <f t="shared" si="2"/>
        <v>0</v>
      </c>
      <c r="AQ9" s="32" t="e">
        <f>AO9-AP9</f>
        <v>#REF!</v>
      </c>
    </row>
    <row r="10" spans="1:43" x14ac:dyDescent="0.35">
      <c r="C10" t="s">
        <v>11</v>
      </c>
      <c r="D10" s="16">
        <v>5.3340541580567488E-2</v>
      </c>
      <c r="E10" s="17" t="e">
        <f t="shared" si="3"/>
        <v>#REF!</v>
      </c>
      <c r="F10" s="18">
        <f>SUMIFS('Processado 2'!$H:$H,'Processado 2'!$G:$G,'Execução do PA iNOVA'!$C10,'Processado 2'!$A:$A,2020,'Processado 2'!$B:$B,'Execução do PA iNOVA'!E$5)</f>
        <v>0</v>
      </c>
      <c r="G10" s="27" t="e">
        <f t="shared" ref="G10:G19" si="5">E10-F10</f>
        <v>#REF!</v>
      </c>
      <c r="H10" s="31" t="e">
        <f t="shared" ref="H10:H19" si="6">H$8*$D10</f>
        <v>#REF!</v>
      </c>
      <c r="I10" s="18">
        <f>SUMIFS('Processado 2'!$H:$H,'Processado 2'!$G:$G,'Execução do PA iNOVA'!$C10,'Processado 2'!$A:$A,2021,'Processado 2'!$B:$B,'Execução do PA iNOVA'!H$5)</f>
        <v>0</v>
      </c>
      <c r="J10" s="32" t="e">
        <f t="shared" si="0"/>
        <v>#REF!</v>
      </c>
      <c r="K10" s="31" t="e">
        <f t="shared" si="4"/>
        <v>#REF!</v>
      </c>
      <c r="L10" s="18">
        <f>SUMIFS('Processado 2'!$H:$H,'Processado 2'!$G:$G,'Execução do PA iNOVA'!$C10,'Processado 2'!$A:$A,2021,'Processado 2'!$B:$B,'Execução do PA iNOVA'!K$5)</f>
        <v>0</v>
      </c>
      <c r="M10" s="32" t="e">
        <f t="shared" ref="M10:M19" si="7">K10-L10+J10</f>
        <v>#REF!</v>
      </c>
      <c r="N10" s="31" t="e">
        <f t="shared" si="4"/>
        <v>#REF!</v>
      </c>
      <c r="O10" s="18">
        <f>SUMIFS('Processado 2'!$H:$H,'Processado 2'!$G:$G,'Execução do PA iNOVA'!$C10,'Processado 2'!$A:$A,2021,'Processado 2'!$B:$B,'Execução do PA iNOVA'!N$5)</f>
        <v>0</v>
      </c>
      <c r="P10" s="32" t="e">
        <f t="shared" ref="P10:P19" si="8">N10-O10+M10</f>
        <v>#REF!</v>
      </c>
      <c r="Q10" s="31" t="e">
        <f t="shared" si="4"/>
        <v>#REF!</v>
      </c>
      <c r="R10" s="18">
        <f>SUMIFS('Processado 2'!$H:$H,'Processado 2'!$G:$G,'Execução do PA iNOVA'!$C10,'Processado 2'!$A:$A,2021,'Processado 2'!$B:$B,'Execução do PA iNOVA'!Q$5)</f>
        <v>0</v>
      </c>
      <c r="S10" s="32" t="e">
        <f t="shared" ref="S10:S19" si="9">Q10-R10+P10</f>
        <v>#REF!</v>
      </c>
      <c r="T10" s="31" t="e">
        <f t="shared" si="4"/>
        <v>#REF!</v>
      </c>
      <c r="U10" s="18">
        <f>SUMIFS('Processado 2'!$H:$H,'Processado 2'!$G:$G,'Execução do PA iNOVA'!$C10,'Processado 2'!$A:$A,2021,'Processado 2'!$B:$B,'Execução do PA iNOVA'!T$5)</f>
        <v>0</v>
      </c>
      <c r="V10" s="32" t="e">
        <f t="shared" ref="V10:V19" si="10">T10-U10+S10</f>
        <v>#REF!</v>
      </c>
      <c r="W10" s="31" t="e">
        <f t="shared" si="4"/>
        <v>#REF!</v>
      </c>
      <c r="X10" s="18">
        <f>SUMIFS('Processado 2'!$H:$H,'Processado 2'!$G:$G,'Execução do PA iNOVA'!$C10,'Processado 2'!$A:$A,2021,'Processado 2'!$B:$B,'Execução do PA iNOVA'!W$5)</f>
        <v>0</v>
      </c>
      <c r="Y10" s="32" t="e">
        <f t="shared" ref="Y10:Y19" si="11">W10-X10+V10</f>
        <v>#REF!</v>
      </c>
      <c r="Z10" s="31" t="e">
        <f t="shared" si="4"/>
        <v>#REF!</v>
      </c>
      <c r="AA10" s="18">
        <f>SUMIFS('Processado 2'!$H:$H,'Processado 2'!$G:$G,'Execução do PA iNOVA'!$C10,'Processado 2'!$A:$A,2021,'Processado 2'!$B:$B,'Execução do PA iNOVA'!Z$5)</f>
        <v>0</v>
      </c>
      <c r="AB10" s="32" t="e">
        <f t="shared" ref="AB10:AB19" si="12">Z10-AA10+Y10</f>
        <v>#REF!</v>
      </c>
      <c r="AC10" s="31" t="e">
        <f t="shared" si="4"/>
        <v>#REF!</v>
      </c>
      <c r="AD10" s="18">
        <f>SUMIFS('Processado 2'!$H:$H,'Processado 2'!$G:$G,'Execução do PA iNOVA'!$C10,'Processado 2'!$A:$A,2021,'Processado 2'!$B:$B,'Execução do PA iNOVA'!AC$5)</f>
        <v>0</v>
      </c>
      <c r="AE10" s="32" t="e">
        <f t="shared" ref="AE10:AE19" si="13">AC10-AD10+AB10</f>
        <v>#REF!</v>
      </c>
      <c r="AF10" s="31" t="e">
        <f t="shared" si="4"/>
        <v>#REF!</v>
      </c>
      <c r="AG10" s="18">
        <f>SUMIFS('Processado 2'!$H:$H,'Processado 2'!$G:$G,'Execução do PA iNOVA'!$C10,'Processado 2'!$A:$A,2021,'Processado 2'!$B:$B,'Execução do PA iNOVA'!AF$5)</f>
        <v>0</v>
      </c>
      <c r="AH10" s="32" t="e">
        <f t="shared" ref="AH10:AH19" si="14">AF10-AG10+AE10</f>
        <v>#REF!</v>
      </c>
      <c r="AI10" s="31" t="e">
        <f t="shared" si="4"/>
        <v>#REF!</v>
      </c>
      <c r="AJ10" s="18">
        <f>SUMIFS('Processado 2'!$H:$H,'Processado 2'!$G:$G,'Execução do PA iNOVA'!$C10,'Processado 2'!$A:$A,2021,'Processado 2'!$B:$B,'Execução do PA iNOVA'!AI$5)</f>
        <v>0</v>
      </c>
      <c r="AK10" s="32" t="e">
        <f t="shared" ref="AK10:AK19" si="15">AI10-AJ10+AH10</f>
        <v>#REF!</v>
      </c>
      <c r="AL10" s="31" t="e">
        <f t="shared" si="4"/>
        <v>#REF!</v>
      </c>
      <c r="AM10" s="18">
        <f>SUMIFS('Processado 2'!$H:$H,'Processado 2'!$G:$G,'Execução do PA iNOVA'!$C10,'Processado 2'!$A:$A,2021,'Processado 2'!$B:$B,'Execução do PA iNOVA'!AL$5)</f>
        <v>0</v>
      </c>
      <c r="AN10" s="32" t="e">
        <f t="shared" ref="AN10:AN19" si="16">AL10-AM10+AK10</f>
        <v>#REF!</v>
      </c>
      <c r="AO10" s="17" t="e">
        <f t="shared" si="1"/>
        <v>#REF!</v>
      </c>
      <c r="AP10" s="18">
        <f t="shared" si="2"/>
        <v>0</v>
      </c>
      <c r="AQ10" s="32" t="e">
        <f t="shared" ref="AQ10:AQ19" si="17">AO10-AP10</f>
        <v>#REF!</v>
      </c>
    </row>
    <row r="11" spans="1:43" x14ac:dyDescent="0.35">
      <c r="C11" t="s">
        <v>12</v>
      </c>
      <c r="D11" s="16">
        <v>6.6313864913988508E-3</v>
      </c>
      <c r="E11" s="17" t="e">
        <f t="shared" si="3"/>
        <v>#REF!</v>
      </c>
      <c r="F11" s="18">
        <f>SUMIFS('Processado 2'!$H:$H,'Processado 2'!$G:$G,'Execução do PA iNOVA'!$C11,'Processado 2'!$A:$A,2020,'Processado 2'!$B:$B,'Execução do PA iNOVA'!E$5)</f>
        <v>0</v>
      </c>
      <c r="G11" s="27" t="e">
        <f t="shared" si="5"/>
        <v>#REF!</v>
      </c>
      <c r="H11" s="31" t="e">
        <f t="shared" si="6"/>
        <v>#REF!</v>
      </c>
      <c r="I11" s="18">
        <f>SUMIFS('Processado 2'!$H:$H,'Processado 2'!$G:$G,'Execução do PA iNOVA'!$C11,'Processado 2'!$A:$A,2021,'Processado 2'!$B:$B,'Execução do PA iNOVA'!H$5)</f>
        <v>0</v>
      </c>
      <c r="J11" s="32" t="e">
        <f t="shared" si="0"/>
        <v>#REF!</v>
      </c>
      <c r="K11" s="31" t="e">
        <f t="shared" si="4"/>
        <v>#REF!</v>
      </c>
      <c r="L11" s="18">
        <f>SUMIFS('Processado 2'!$H:$H,'Processado 2'!$G:$G,'Execução do PA iNOVA'!$C11,'Processado 2'!$A:$A,2021,'Processado 2'!$B:$B,'Execução do PA iNOVA'!K$5)</f>
        <v>0</v>
      </c>
      <c r="M11" s="32" t="e">
        <f t="shared" si="7"/>
        <v>#REF!</v>
      </c>
      <c r="N11" s="31" t="e">
        <f t="shared" si="4"/>
        <v>#REF!</v>
      </c>
      <c r="O11" s="18">
        <f>SUMIFS('Processado 2'!$H:$H,'Processado 2'!$G:$G,'Execução do PA iNOVA'!$C11,'Processado 2'!$A:$A,2021,'Processado 2'!$B:$B,'Execução do PA iNOVA'!N$5)</f>
        <v>0</v>
      </c>
      <c r="P11" s="32" t="e">
        <f t="shared" si="8"/>
        <v>#REF!</v>
      </c>
      <c r="Q11" s="31" t="e">
        <f t="shared" si="4"/>
        <v>#REF!</v>
      </c>
      <c r="R11" s="18">
        <f>SUMIFS('Processado 2'!$H:$H,'Processado 2'!$G:$G,'Execução do PA iNOVA'!$C11,'Processado 2'!$A:$A,2021,'Processado 2'!$B:$B,'Execução do PA iNOVA'!Q$5)</f>
        <v>0</v>
      </c>
      <c r="S11" s="32" t="e">
        <f t="shared" si="9"/>
        <v>#REF!</v>
      </c>
      <c r="T11" s="31" t="e">
        <f t="shared" si="4"/>
        <v>#REF!</v>
      </c>
      <c r="U11" s="18">
        <f>SUMIFS('Processado 2'!$H:$H,'Processado 2'!$G:$G,'Execução do PA iNOVA'!$C11,'Processado 2'!$A:$A,2021,'Processado 2'!$B:$B,'Execução do PA iNOVA'!T$5)</f>
        <v>0</v>
      </c>
      <c r="V11" s="32" t="e">
        <f t="shared" si="10"/>
        <v>#REF!</v>
      </c>
      <c r="W11" s="31" t="e">
        <f t="shared" si="4"/>
        <v>#REF!</v>
      </c>
      <c r="X11" s="18">
        <f>SUMIFS('Processado 2'!$H:$H,'Processado 2'!$G:$G,'Execução do PA iNOVA'!$C11,'Processado 2'!$A:$A,2021,'Processado 2'!$B:$B,'Execução do PA iNOVA'!W$5)</f>
        <v>0</v>
      </c>
      <c r="Y11" s="32" t="e">
        <f t="shared" si="11"/>
        <v>#REF!</v>
      </c>
      <c r="Z11" s="31" t="e">
        <f t="shared" si="4"/>
        <v>#REF!</v>
      </c>
      <c r="AA11" s="18">
        <f>SUMIFS('Processado 2'!$H:$H,'Processado 2'!$G:$G,'Execução do PA iNOVA'!$C11,'Processado 2'!$A:$A,2021,'Processado 2'!$B:$B,'Execução do PA iNOVA'!Z$5)</f>
        <v>0</v>
      </c>
      <c r="AB11" s="32" t="e">
        <f t="shared" si="12"/>
        <v>#REF!</v>
      </c>
      <c r="AC11" s="31" t="e">
        <f t="shared" si="4"/>
        <v>#REF!</v>
      </c>
      <c r="AD11" s="18">
        <f>SUMIFS('Processado 2'!$H:$H,'Processado 2'!$G:$G,'Execução do PA iNOVA'!$C11,'Processado 2'!$A:$A,2021,'Processado 2'!$B:$B,'Execução do PA iNOVA'!AC$5)</f>
        <v>0</v>
      </c>
      <c r="AE11" s="32" t="e">
        <f t="shared" si="13"/>
        <v>#REF!</v>
      </c>
      <c r="AF11" s="31" t="e">
        <f t="shared" si="4"/>
        <v>#REF!</v>
      </c>
      <c r="AG11" s="18">
        <f>SUMIFS('Processado 2'!$H:$H,'Processado 2'!$G:$G,'Execução do PA iNOVA'!$C11,'Processado 2'!$A:$A,2021,'Processado 2'!$B:$B,'Execução do PA iNOVA'!AF$5)</f>
        <v>0</v>
      </c>
      <c r="AH11" s="32" t="e">
        <f t="shared" si="14"/>
        <v>#REF!</v>
      </c>
      <c r="AI11" s="31" t="e">
        <f t="shared" si="4"/>
        <v>#REF!</v>
      </c>
      <c r="AJ11" s="18">
        <f>SUMIFS('Processado 2'!$H:$H,'Processado 2'!$G:$G,'Execução do PA iNOVA'!$C11,'Processado 2'!$A:$A,2021,'Processado 2'!$B:$B,'Execução do PA iNOVA'!AI$5)</f>
        <v>0</v>
      </c>
      <c r="AK11" s="32" t="e">
        <f t="shared" si="15"/>
        <v>#REF!</v>
      </c>
      <c r="AL11" s="31" t="e">
        <f t="shared" si="4"/>
        <v>#REF!</v>
      </c>
      <c r="AM11" s="18">
        <f>SUMIFS('Processado 2'!$H:$H,'Processado 2'!$G:$G,'Execução do PA iNOVA'!$C11,'Processado 2'!$A:$A,2021,'Processado 2'!$B:$B,'Execução do PA iNOVA'!AL$5)</f>
        <v>0</v>
      </c>
      <c r="AN11" s="32" t="e">
        <f t="shared" si="16"/>
        <v>#REF!</v>
      </c>
      <c r="AO11" s="17" t="e">
        <f t="shared" si="1"/>
        <v>#REF!</v>
      </c>
      <c r="AP11" s="18">
        <f t="shared" si="2"/>
        <v>0</v>
      </c>
      <c r="AQ11" s="32" t="e">
        <f t="shared" si="17"/>
        <v>#REF!</v>
      </c>
    </row>
    <row r="12" spans="1:43" x14ac:dyDescent="0.35">
      <c r="C12" t="s">
        <v>13</v>
      </c>
      <c r="D12" s="16">
        <v>3.8462574421661122E-2</v>
      </c>
      <c r="E12" s="17" t="e">
        <f t="shared" si="3"/>
        <v>#REF!</v>
      </c>
      <c r="F12" s="18">
        <f>SUMIFS('Processado 2'!$H:$H,'Processado 2'!$G:$G,'Execução do PA iNOVA'!$C12,'Processado 2'!$A:$A,2020,'Processado 2'!$B:$B,'Execução do PA iNOVA'!E$5)</f>
        <v>0</v>
      </c>
      <c r="G12" s="27" t="e">
        <f t="shared" si="5"/>
        <v>#REF!</v>
      </c>
      <c r="H12" s="31" t="e">
        <f t="shared" si="6"/>
        <v>#REF!</v>
      </c>
      <c r="I12" s="18">
        <f>SUMIFS('Processado 2'!$H:$H,'Processado 2'!$G:$G,'Execução do PA iNOVA'!$C12,'Processado 2'!$A:$A,2021,'Processado 2'!$B:$B,'Execução do PA iNOVA'!H$5)</f>
        <v>0</v>
      </c>
      <c r="J12" s="32" t="e">
        <f t="shared" si="0"/>
        <v>#REF!</v>
      </c>
      <c r="K12" s="31" t="e">
        <f t="shared" si="4"/>
        <v>#REF!</v>
      </c>
      <c r="L12" s="18">
        <f>SUMIFS('Processado 2'!$H:$H,'Processado 2'!$G:$G,'Execução do PA iNOVA'!$C12,'Processado 2'!$A:$A,2021,'Processado 2'!$B:$B,'Execução do PA iNOVA'!K$5)</f>
        <v>0</v>
      </c>
      <c r="M12" s="32" t="e">
        <f t="shared" si="7"/>
        <v>#REF!</v>
      </c>
      <c r="N12" s="31" t="e">
        <f t="shared" si="4"/>
        <v>#REF!</v>
      </c>
      <c r="O12" s="18">
        <f>SUMIFS('Processado 2'!$H:$H,'Processado 2'!$G:$G,'Execução do PA iNOVA'!$C12,'Processado 2'!$A:$A,2021,'Processado 2'!$B:$B,'Execução do PA iNOVA'!N$5)</f>
        <v>0</v>
      </c>
      <c r="P12" s="32" t="e">
        <f t="shared" si="8"/>
        <v>#REF!</v>
      </c>
      <c r="Q12" s="31" t="e">
        <f t="shared" si="4"/>
        <v>#REF!</v>
      </c>
      <c r="R12" s="18">
        <f>SUMIFS('Processado 2'!$H:$H,'Processado 2'!$G:$G,'Execução do PA iNOVA'!$C12,'Processado 2'!$A:$A,2021,'Processado 2'!$B:$B,'Execução do PA iNOVA'!Q$5)</f>
        <v>0</v>
      </c>
      <c r="S12" s="32" t="e">
        <f t="shared" si="9"/>
        <v>#REF!</v>
      </c>
      <c r="T12" s="31" t="e">
        <f t="shared" si="4"/>
        <v>#REF!</v>
      </c>
      <c r="U12" s="18">
        <f>SUMIFS('Processado 2'!$H:$H,'Processado 2'!$G:$G,'Execução do PA iNOVA'!$C12,'Processado 2'!$A:$A,2021,'Processado 2'!$B:$B,'Execução do PA iNOVA'!T$5)</f>
        <v>0</v>
      </c>
      <c r="V12" s="32" t="e">
        <f t="shared" si="10"/>
        <v>#REF!</v>
      </c>
      <c r="W12" s="31" t="e">
        <f t="shared" si="4"/>
        <v>#REF!</v>
      </c>
      <c r="X12" s="18">
        <f>SUMIFS('Processado 2'!$H:$H,'Processado 2'!$G:$G,'Execução do PA iNOVA'!$C12,'Processado 2'!$A:$A,2021,'Processado 2'!$B:$B,'Execução do PA iNOVA'!W$5)</f>
        <v>0</v>
      </c>
      <c r="Y12" s="32" t="e">
        <f t="shared" si="11"/>
        <v>#REF!</v>
      </c>
      <c r="Z12" s="31" t="e">
        <f t="shared" si="4"/>
        <v>#REF!</v>
      </c>
      <c r="AA12" s="18">
        <f>SUMIFS('Processado 2'!$H:$H,'Processado 2'!$G:$G,'Execução do PA iNOVA'!$C12,'Processado 2'!$A:$A,2021,'Processado 2'!$B:$B,'Execução do PA iNOVA'!Z$5)</f>
        <v>0</v>
      </c>
      <c r="AB12" s="32" t="e">
        <f t="shared" si="12"/>
        <v>#REF!</v>
      </c>
      <c r="AC12" s="31" t="e">
        <f t="shared" si="4"/>
        <v>#REF!</v>
      </c>
      <c r="AD12" s="18">
        <f>SUMIFS('Processado 2'!$H:$H,'Processado 2'!$G:$G,'Execução do PA iNOVA'!$C12,'Processado 2'!$A:$A,2021,'Processado 2'!$B:$B,'Execução do PA iNOVA'!AC$5)</f>
        <v>0</v>
      </c>
      <c r="AE12" s="32" t="e">
        <f t="shared" si="13"/>
        <v>#REF!</v>
      </c>
      <c r="AF12" s="31" t="e">
        <f t="shared" si="4"/>
        <v>#REF!</v>
      </c>
      <c r="AG12" s="18">
        <f>SUMIFS('Processado 2'!$H:$H,'Processado 2'!$G:$G,'Execução do PA iNOVA'!$C12,'Processado 2'!$A:$A,2021,'Processado 2'!$B:$B,'Execução do PA iNOVA'!AF$5)</f>
        <v>0</v>
      </c>
      <c r="AH12" s="32" t="e">
        <f t="shared" si="14"/>
        <v>#REF!</v>
      </c>
      <c r="AI12" s="31" t="e">
        <f t="shared" si="4"/>
        <v>#REF!</v>
      </c>
      <c r="AJ12" s="18">
        <f>SUMIFS('Processado 2'!$H:$H,'Processado 2'!$G:$G,'Execução do PA iNOVA'!$C12,'Processado 2'!$A:$A,2021,'Processado 2'!$B:$B,'Execução do PA iNOVA'!AI$5)</f>
        <v>0</v>
      </c>
      <c r="AK12" s="32" t="e">
        <f t="shared" si="15"/>
        <v>#REF!</v>
      </c>
      <c r="AL12" s="31" t="e">
        <f t="shared" si="4"/>
        <v>#REF!</v>
      </c>
      <c r="AM12" s="18">
        <f>SUMIFS('Processado 2'!$H:$H,'Processado 2'!$G:$G,'Execução do PA iNOVA'!$C12,'Processado 2'!$A:$A,2021,'Processado 2'!$B:$B,'Execução do PA iNOVA'!AL$5)</f>
        <v>0</v>
      </c>
      <c r="AN12" s="32" t="e">
        <f t="shared" si="16"/>
        <v>#REF!</v>
      </c>
      <c r="AO12" s="17" t="e">
        <f t="shared" si="1"/>
        <v>#REF!</v>
      </c>
      <c r="AP12" s="18">
        <f t="shared" si="2"/>
        <v>0</v>
      </c>
      <c r="AQ12" s="32" t="e">
        <f t="shared" si="17"/>
        <v>#REF!</v>
      </c>
    </row>
    <row r="13" spans="1:43" x14ac:dyDescent="0.35">
      <c r="C13" t="s">
        <v>161</v>
      </c>
      <c r="D13" s="16">
        <v>1.1489952163548749E-2</v>
      </c>
      <c r="E13" s="17" t="e">
        <f t="shared" si="3"/>
        <v>#REF!</v>
      </c>
      <c r="F13" s="18">
        <f>SUMIFS('Processado 2'!$H:$H,'Processado 2'!$G:$G,'Execução do PA iNOVA'!$C13,'Processado 2'!$A:$A,2020,'Processado 2'!$B:$B,'Execução do PA iNOVA'!E$5)</f>
        <v>0</v>
      </c>
      <c r="G13" s="27" t="e">
        <f t="shared" si="5"/>
        <v>#REF!</v>
      </c>
      <c r="H13" s="31" t="e">
        <f t="shared" si="6"/>
        <v>#REF!</v>
      </c>
      <c r="I13" s="18">
        <f>SUMIFS('Processado 2'!$H:$H,'Processado 2'!$G:$G,'Execução do PA iNOVA'!$C13,'Processado 2'!$A:$A,2021,'Processado 2'!$B:$B,'Execução do PA iNOVA'!H$5)</f>
        <v>0</v>
      </c>
      <c r="J13" s="32" t="e">
        <f t="shared" si="0"/>
        <v>#REF!</v>
      </c>
      <c r="K13" s="31" t="e">
        <f t="shared" si="4"/>
        <v>#REF!</v>
      </c>
      <c r="L13" s="18">
        <f>SUMIFS('Processado 2'!$H:$H,'Processado 2'!$G:$G,'Execução do PA iNOVA'!$C13,'Processado 2'!$A:$A,2021,'Processado 2'!$B:$B,'Execução do PA iNOVA'!K$5)</f>
        <v>0</v>
      </c>
      <c r="M13" s="32" t="e">
        <f t="shared" si="7"/>
        <v>#REF!</v>
      </c>
      <c r="N13" s="31" t="e">
        <f t="shared" si="4"/>
        <v>#REF!</v>
      </c>
      <c r="O13" s="18">
        <f>SUMIFS('Processado 2'!$H:$H,'Processado 2'!$G:$G,'Execução do PA iNOVA'!$C13,'Processado 2'!$A:$A,2021,'Processado 2'!$B:$B,'Execução do PA iNOVA'!N$5)</f>
        <v>0</v>
      </c>
      <c r="P13" s="32" t="e">
        <f t="shared" si="8"/>
        <v>#REF!</v>
      </c>
      <c r="Q13" s="31" t="e">
        <f t="shared" si="4"/>
        <v>#REF!</v>
      </c>
      <c r="R13" s="18">
        <f>SUMIFS('Processado 2'!$H:$H,'Processado 2'!$G:$G,'Execução do PA iNOVA'!$C13,'Processado 2'!$A:$A,2021,'Processado 2'!$B:$B,'Execução do PA iNOVA'!Q$5)</f>
        <v>0</v>
      </c>
      <c r="S13" s="32" t="e">
        <f t="shared" si="9"/>
        <v>#REF!</v>
      </c>
      <c r="T13" s="31" t="e">
        <f t="shared" si="4"/>
        <v>#REF!</v>
      </c>
      <c r="U13" s="18">
        <f>SUMIFS('Processado 2'!$H:$H,'Processado 2'!$G:$G,'Execução do PA iNOVA'!$C13,'Processado 2'!$A:$A,2021,'Processado 2'!$B:$B,'Execução do PA iNOVA'!T$5)</f>
        <v>0</v>
      </c>
      <c r="V13" s="32" t="e">
        <f t="shared" si="10"/>
        <v>#REF!</v>
      </c>
      <c r="W13" s="31" t="e">
        <f t="shared" si="4"/>
        <v>#REF!</v>
      </c>
      <c r="X13" s="18">
        <f>SUMIFS('Processado 2'!$H:$H,'Processado 2'!$G:$G,'Execução do PA iNOVA'!$C13,'Processado 2'!$A:$A,2021,'Processado 2'!$B:$B,'Execução do PA iNOVA'!W$5)</f>
        <v>0</v>
      </c>
      <c r="Y13" s="32" t="e">
        <f t="shared" si="11"/>
        <v>#REF!</v>
      </c>
      <c r="Z13" s="31" t="e">
        <f t="shared" si="4"/>
        <v>#REF!</v>
      </c>
      <c r="AA13" s="18">
        <f>SUMIFS('Processado 2'!$H:$H,'Processado 2'!$G:$G,'Execução do PA iNOVA'!$C13,'Processado 2'!$A:$A,2021,'Processado 2'!$B:$B,'Execução do PA iNOVA'!Z$5)</f>
        <v>0</v>
      </c>
      <c r="AB13" s="32" t="e">
        <f t="shared" si="12"/>
        <v>#REF!</v>
      </c>
      <c r="AC13" s="31" t="e">
        <f t="shared" si="4"/>
        <v>#REF!</v>
      </c>
      <c r="AD13" s="18">
        <f>SUMIFS('Processado 2'!$H:$H,'Processado 2'!$G:$G,'Execução do PA iNOVA'!$C13,'Processado 2'!$A:$A,2021,'Processado 2'!$B:$B,'Execução do PA iNOVA'!AC$5)</f>
        <v>0</v>
      </c>
      <c r="AE13" s="32" t="e">
        <f t="shared" si="13"/>
        <v>#REF!</v>
      </c>
      <c r="AF13" s="31" t="e">
        <f t="shared" si="4"/>
        <v>#REF!</v>
      </c>
      <c r="AG13" s="18">
        <f>SUMIFS('Processado 2'!$H:$H,'Processado 2'!$G:$G,'Execução do PA iNOVA'!$C13,'Processado 2'!$A:$A,2021,'Processado 2'!$B:$B,'Execução do PA iNOVA'!AF$5)</f>
        <v>0</v>
      </c>
      <c r="AH13" s="32" t="e">
        <f t="shared" si="14"/>
        <v>#REF!</v>
      </c>
      <c r="AI13" s="31" t="e">
        <f t="shared" si="4"/>
        <v>#REF!</v>
      </c>
      <c r="AJ13" s="18">
        <f>SUMIFS('Processado 2'!$H:$H,'Processado 2'!$G:$G,'Execução do PA iNOVA'!$C13,'Processado 2'!$A:$A,2021,'Processado 2'!$B:$B,'Execução do PA iNOVA'!AI$5)</f>
        <v>0</v>
      </c>
      <c r="AK13" s="32" t="e">
        <f t="shared" si="15"/>
        <v>#REF!</v>
      </c>
      <c r="AL13" s="31" t="e">
        <f t="shared" si="4"/>
        <v>#REF!</v>
      </c>
      <c r="AM13" s="18">
        <f>SUMIFS('Processado 2'!$H:$H,'Processado 2'!$G:$G,'Execução do PA iNOVA'!$C13,'Processado 2'!$A:$A,2021,'Processado 2'!$B:$B,'Execução do PA iNOVA'!AL$5)</f>
        <v>0</v>
      </c>
      <c r="AN13" s="32" t="e">
        <f t="shared" si="16"/>
        <v>#REF!</v>
      </c>
      <c r="AO13" s="17" t="e">
        <f t="shared" si="1"/>
        <v>#REF!</v>
      </c>
      <c r="AP13" s="18">
        <f t="shared" si="2"/>
        <v>0</v>
      </c>
      <c r="AQ13" s="32" t="e">
        <f t="shared" si="17"/>
        <v>#REF!</v>
      </c>
    </row>
    <row r="14" spans="1:43" x14ac:dyDescent="0.35">
      <c r="C14" t="s">
        <v>23</v>
      </c>
      <c r="D14" s="16">
        <v>2.7032354840193003E-3</v>
      </c>
      <c r="E14" s="17" t="e">
        <f t="shared" si="3"/>
        <v>#REF!</v>
      </c>
      <c r="F14" s="18">
        <f>SUMIFS('Processado 2'!$H:$H,'Processado 2'!$G:$G,'Execução do PA iNOVA'!$C14,'Processado 2'!$A:$A,2020,'Processado 2'!$B:$B,'Execução do PA iNOVA'!E$5)</f>
        <v>0</v>
      </c>
      <c r="G14" s="27" t="e">
        <f t="shared" si="5"/>
        <v>#REF!</v>
      </c>
      <c r="H14" s="31" t="e">
        <f t="shared" si="6"/>
        <v>#REF!</v>
      </c>
      <c r="I14" s="18">
        <f>SUMIFS('Processado 2'!$H:$H,'Processado 2'!$G:$G,'Execução do PA iNOVA'!$C14,'Processado 2'!$A:$A,2021,'Processado 2'!$B:$B,'Execução do PA iNOVA'!H$5)</f>
        <v>0</v>
      </c>
      <c r="J14" s="32" t="e">
        <f t="shared" si="0"/>
        <v>#REF!</v>
      </c>
      <c r="K14" s="31" t="e">
        <f t="shared" si="4"/>
        <v>#REF!</v>
      </c>
      <c r="L14" s="18">
        <f>SUMIFS('Processado 2'!$H:$H,'Processado 2'!$G:$G,'Execução do PA iNOVA'!$C14,'Processado 2'!$A:$A,2021,'Processado 2'!$B:$B,'Execução do PA iNOVA'!K$5)</f>
        <v>0</v>
      </c>
      <c r="M14" s="32" t="e">
        <f t="shared" si="7"/>
        <v>#REF!</v>
      </c>
      <c r="N14" s="31" t="e">
        <f t="shared" si="4"/>
        <v>#REF!</v>
      </c>
      <c r="O14" s="18">
        <f>SUMIFS('Processado 2'!$H:$H,'Processado 2'!$G:$G,'Execução do PA iNOVA'!$C14,'Processado 2'!$A:$A,2021,'Processado 2'!$B:$B,'Execução do PA iNOVA'!N$5)</f>
        <v>0</v>
      </c>
      <c r="P14" s="32" t="e">
        <f t="shared" si="8"/>
        <v>#REF!</v>
      </c>
      <c r="Q14" s="31" t="e">
        <f t="shared" si="4"/>
        <v>#REF!</v>
      </c>
      <c r="R14" s="18">
        <f>SUMIFS('Processado 2'!$H:$H,'Processado 2'!$G:$G,'Execução do PA iNOVA'!$C14,'Processado 2'!$A:$A,2021,'Processado 2'!$B:$B,'Execução do PA iNOVA'!Q$5)</f>
        <v>0</v>
      </c>
      <c r="S14" s="32" t="e">
        <f t="shared" si="9"/>
        <v>#REF!</v>
      </c>
      <c r="T14" s="31" t="e">
        <f t="shared" si="4"/>
        <v>#REF!</v>
      </c>
      <c r="U14" s="18">
        <f>SUMIFS('Processado 2'!$H:$H,'Processado 2'!$G:$G,'Execução do PA iNOVA'!$C14,'Processado 2'!$A:$A,2021,'Processado 2'!$B:$B,'Execução do PA iNOVA'!T$5)</f>
        <v>0</v>
      </c>
      <c r="V14" s="32" t="e">
        <f t="shared" si="10"/>
        <v>#REF!</v>
      </c>
      <c r="W14" s="31" t="e">
        <f t="shared" si="4"/>
        <v>#REF!</v>
      </c>
      <c r="X14" s="18">
        <f>SUMIFS('Processado 2'!$H:$H,'Processado 2'!$G:$G,'Execução do PA iNOVA'!$C14,'Processado 2'!$A:$A,2021,'Processado 2'!$B:$B,'Execução do PA iNOVA'!W$5)</f>
        <v>0</v>
      </c>
      <c r="Y14" s="32" t="e">
        <f t="shared" si="11"/>
        <v>#REF!</v>
      </c>
      <c r="Z14" s="31" t="e">
        <f t="shared" si="4"/>
        <v>#REF!</v>
      </c>
      <c r="AA14" s="18">
        <f>SUMIFS('Processado 2'!$H:$H,'Processado 2'!$G:$G,'Execução do PA iNOVA'!$C14,'Processado 2'!$A:$A,2021,'Processado 2'!$B:$B,'Execução do PA iNOVA'!Z$5)</f>
        <v>0</v>
      </c>
      <c r="AB14" s="32" t="e">
        <f t="shared" si="12"/>
        <v>#REF!</v>
      </c>
      <c r="AC14" s="31" t="e">
        <f t="shared" si="4"/>
        <v>#REF!</v>
      </c>
      <c r="AD14" s="18">
        <f>SUMIFS('Processado 2'!$H:$H,'Processado 2'!$G:$G,'Execução do PA iNOVA'!$C14,'Processado 2'!$A:$A,2021,'Processado 2'!$B:$B,'Execução do PA iNOVA'!AC$5)</f>
        <v>0</v>
      </c>
      <c r="AE14" s="32" t="e">
        <f t="shared" si="13"/>
        <v>#REF!</v>
      </c>
      <c r="AF14" s="31" t="e">
        <f t="shared" si="4"/>
        <v>#REF!</v>
      </c>
      <c r="AG14" s="18">
        <f>SUMIFS('Processado 2'!$H:$H,'Processado 2'!$G:$G,'Execução do PA iNOVA'!$C14,'Processado 2'!$A:$A,2021,'Processado 2'!$B:$B,'Execução do PA iNOVA'!AF$5)</f>
        <v>0</v>
      </c>
      <c r="AH14" s="32" t="e">
        <f t="shared" si="14"/>
        <v>#REF!</v>
      </c>
      <c r="AI14" s="31" t="e">
        <f t="shared" si="4"/>
        <v>#REF!</v>
      </c>
      <c r="AJ14" s="18">
        <f>SUMIFS('Processado 2'!$H:$H,'Processado 2'!$G:$G,'Execução do PA iNOVA'!$C14,'Processado 2'!$A:$A,2021,'Processado 2'!$B:$B,'Execução do PA iNOVA'!AI$5)</f>
        <v>0</v>
      </c>
      <c r="AK14" s="32" t="e">
        <f t="shared" si="15"/>
        <v>#REF!</v>
      </c>
      <c r="AL14" s="31" t="e">
        <f t="shared" si="4"/>
        <v>#REF!</v>
      </c>
      <c r="AM14" s="18">
        <f>SUMIFS('Processado 2'!$H:$H,'Processado 2'!$G:$G,'Execução do PA iNOVA'!$C14,'Processado 2'!$A:$A,2021,'Processado 2'!$B:$B,'Execução do PA iNOVA'!AL$5)</f>
        <v>0</v>
      </c>
      <c r="AN14" s="32" t="e">
        <f t="shared" si="16"/>
        <v>#REF!</v>
      </c>
      <c r="AO14" s="17" t="e">
        <f t="shared" si="1"/>
        <v>#REF!</v>
      </c>
      <c r="AP14" s="18">
        <f t="shared" si="2"/>
        <v>0</v>
      </c>
      <c r="AQ14" s="32" t="e">
        <f t="shared" si="17"/>
        <v>#REF!</v>
      </c>
    </row>
    <row r="15" spans="1:43" x14ac:dyDescent="0.35">
      <c r="C15" t="s">
        <v>15</v>
      </c>
      <c r="D15" s="16">
        <v>0.63714135845308528</v>
      </c>
      <c r="E15" s="17" t="e">
        <f t="shared" si="3"/>
        <v>#REF!</v>
      </c>
      <c r="F15" s="18">
        <f>SUMIFS('Processado 2'!$H:$H,'Processado 2'!$G:$G,'Execução do PA iNOVA'!$C15,'Processado 2'!$A:$A,2020,'Processado 2'!$B:$B,'Execução do PA iNOVA'!E$5)</f>
        <v>0</v>
      </c>
      <c r="G15" s="27" t="e">
        <f t="shared" si="5"/>
        <v>#REF!</v>
      </c>
      <c r="H15" s="31" t="e">
        <f t="shared" si="6"/>
        <v>#REF!</v>
      </c>
      <c r="I15" s="18">
        <f>SUMIFS('Processado 2'!$H:$H,'Processado 2'!$G:$G,'Execução do PA iNOVA'!$C15,'Processado 2'!$A:$A,2021,'Processado 2'!$B:$B,'Execução do PA iNOVA'!H$5)</f>
        <v>0</v>
      </c>
      <c r="J15" s="32" t="e">
        <f t="shared" si="0"/>
        <v>#REF!</v>
      </c>
      <c r="K15" s="31" t="e">
        <f t="shared" si="4"/>
        <v>#REF!</v>
      </c>
      <c r="L15" s="18">
        <f>SUMIFS('Processado 2'!$H:$H,'Processado 2'!$G:$G,'Execução do PA iNOVA'!$C15,'Processado 2'!$A:$A,2021,'Processado 2'!$B:$B,'Execução do PA iNOVA'!K$5)</f>
        <v>0</v>
      </c>
      <c r="M15" s="32" t="e">
        <f t="shared" si="7"/>
        <v>#REF!</v>
      </c>
      <c r="N15" s="31" t="e">
        <f t="shared" si="4"/>
        <v>#REF!</v>
      </c>
      <c r="O15" s="18">
        <f>SUMIFS('Processado 2'!$H:$H,'Processado 2'!$G:$G,'Execução do PA iNOVA'!$C15,'Processado 2'!$A:$A,2021,'Processado 2'!$B:$B,'Execução do PA iNOVA'!N$5)</f>
        <v>0</v>
      </c>
      <c r="P15" s="32" t="e">
        <f t="shared" si="8"/>
        <v>#REF!</v>
      </c>
      <c r="Q15" s="31" t="e">
        <f t="shared" si="4"/>
        <v>#REF!</v>
      </c>
      <c r="R15" s="18">
        <f>SUMIFS('Processado 2'!$H:$H,'Processado 2'!$G:$G,'Execução do PA iNOVA'!$C15,'Processado 2'!$A:$A,2021,'Processado 2'!$B:$B,'Execução do PA iNOVA'!Q$5)</f>
        <v>0</v>
      </c>
      <c r="S15" s="32" t="e">
        <f t="shared" si="9"/>
        <v>#REF!</v>
      </c>
      <c r="T15" s="31" t="e">
        <f t="shared" si="4"/>
        <v>#REF!</v>
      </c>
      <c r="U15" s="18">
        <f>SUMIFS('Processado 2'!$H:$H,'Processado 2'!$G:$G,'Execução do PA iNOVA'!$C15,'Processado 2'!$A:$A,2021,'Processado 2'!$B:$B,'Execução do PA iNOVA'!T$5)</f>
        <v>0</v>
      </c>
      <c r="V15" s="32" t="e">
        <f t="shared" si="10"/>
        <v>#REF!</v>
      </c>
      <c r="W15" s="31" t="e">
        <f t="shared" si="4"/>
        <v>#REF!</v>
      </c>
      <c r="X15" s="18">
        <f>SUMIFS('Processado 2'!$H:$H,'Processado 2'!$G:$G,'Execução do PA iNOVA'!$C15,'Processado 2'!$A:$A,2021,'Processado 2'!$B:$B,'Execução do PA iNOVA'!W$5)</f>
        <v>0</v>
      </c>
      <c r="Y15" s="32" t="e">
        <f t="shared" si="11"/>
        <v>#REF!</v>
      </c>
      <c r="Z15" s="31" t="e">
        <f t="shared" si="4"/>
        <v>#REF!</v>
      </c>
      <c r="AA15" s="18">
        <f>SUMIFS('Processado 2'!$H:$H,'Processado 2'!$G:$G,'Execução do PA iNOVA'!$C15,'Processado 2'!$A:$A,2021,'Processado 2'!$B:$B,'Execução do PA iNOVA'!Z$5)</f>
        <v>0</v>
      </c>
      <c r="AB15" s="32" t="e">
        <f t="shared" si="12"/>
        <v>#REF!</v>
      </c>
      <c r="AC15" s="31" t="e">
        <f t="shared" si="4"/>
        <v>#REF!</v>
      </c>
      <c r="AD15" s="18">
        <f>SUMIFS('Processado 2'!$H:$H,'Processado 2'!$G:$G,'Execução do PA iNOVA'!$C15,'Processado 2'!$A:$A,2021,'Processado 2'!$B:$B,'Execução do PA iNOVA'!AC$5)</f>
        <v>0</v>
      </c>
      <c r="AE15" s="32" t="e">
        <f t="shared" si="13"/>
        <v>#REF!</v>
      </c>
      <c r="AF15" s="31" t="e">
        <f t="shared" si="4"/>
        <v>#REF!</v>
      </c>
      <c r="AG15" s="18">
        <f>SUMIFS('Processado 2'!$H:$H,'Processado 2'!$G:$G,'Execução do PA iNOVA'!$C15,'Processado 2'!$A:$A,2021,'Processado 2'!$B:$B,'Execução do PA iNOVA'!AF$5)</f>
        <v>0</v>
      </c>
      <c r="AH15" s="32" t="e">
        <f t="shared" si="14"/>
        <v>#REF!</v>
      </c>
      <c r="AI15" s="31" t="e">
        <f t="shared" si="4"/>
        <v>#REF!</v>
      </c>
      <c r="AJ15" s="18">
        <f>SUMIFS('Processado 2'!$H:$H,'Processado 2'!$G:$G,'Execução do PA iNOVA'!$C15,'Processado 2'!$A:$A,2021,'Processado 2'!$B:$B,'Execução do PA iNOVA'!AI$5)</f>
        <v>0</v>
      </c>
      <c r="AK15" s="32" t="e">
        <f t="shared" si="15"/>
        <v>#REF!</v>
      </c>
      <c r="AL15" s="31" t="e">
        <f t="shared" si="4"/>
        <v>#REF!</v>
      </c>
      <c r="AM15" s="18">
        <f>SUMIFS('Processado 2'!$H:$H,'Processado 2'!$G:$G,'Execução do PA iNOVA'!$C15,'Processado 2'!$A:$A,2021,'Processado 2'!$B:$B,'Execução do PA iNOVA'!AL$5)</f>
        <v>0</v>
      </c>
      <c r="AN15" s="32" t="e">
        <f t="shared" si="16"/>
        <v>#REF!</v>
      </c>
      <c r="AO15" s="17" t="e">
        <f t="shared" si="1"/>
        <v>#REF!</v>
      </c>
      <c r="AP15" s="18">
        <f t="shared" si="2"/>
        <v>0</v>
      </c>
      <c r="AQ15" s="32" t="e">
        <f t="shared" si="17"/>
        <v>#REF!</v>
      </c>
    </row>
    <row r="16" spans="1:43" x14ac:dyDescent="0.35">
      <c r="C16" t="s">
        <v>16</v>
      </c>
      <c r="D16" s="16">
        <v>1.3262445874079423E-2</v>
      </c>
      <c r="E16" s="17" t="e">
        <f t="shared" si="3"/>
        <v>#REF!</v>
      </c>
      <c r="F16" s="18">
        <f>SUMIFS('Processado 2'!$H:$H,'Processado 2'!$G:$G,'Execução do PA iNOVA'!$C16,'Processado 2'!$A:$A,2020,'Processado 2'!$B:$B,'Execução do PA iNOVA'!E$5)</f>
        <v>0</v>
      </c>
      <c r="G16" s="27" t="e">
        <f>E16-F16</f>
        <v>#REF!</v>
      </c>
      <c r="H16" s="31" t="e">
        <f t="shared" si="6"/>
        <v>#REF!</v>
      </c>
      <c r="I16" s="18">
        <f>SUMIFS('Processado 2'!$H:$H,'Processado 2'!$G:$G,'Execução do PA iNOVA'!$C16,'Processado 2'!$A:$A,2021,'Processado 2'!$B:$B,'Execução do PA iNOVA'!H$5)</f>
        <v>0</v>
      </c>
      <c r="J16" s="32" t="e">
        <f t="shared" si="0"/>
        <v>#REF!</v>
      </c>
      <c r="K16" s="31" t="e">
        <f t="shared" si="4"/>
        <v>#REF!</v>
      </c>
      <c r="L16" s="18">
        <f>SUMIFS('Processado 2'!$H:$H,'Processado 2'!$G:$G,'Execução do PA iNOVA'!$C16,'Processado 2'!$A:$A,2021,'Processado 2'!$B:$B,'Execução do PA iNOVA'!K$5)</f>
        <v>0</v>
      </c>
      <c r="M16" s="32" t="e">
        <f t="shared" si="7"/>
        <v>#REF!</v>
      </c>
      <c r="N16" s="31" t="e">
        <f t="shared" si="4"/>
        <v>#REF!</v>
      </c>
      <c r="O16" s="18">
        <f>SUMIFS('Processado 2'!$H:$H,'Processado 2'!$G:$G,'Execução do PA iNOVA'!$C16,'Processado 2'!$A:$A,2021,'Processado 2'!$B:$B,'Execução do PA iNOVA'!N$5)</f>
        <v>0</v>
      </c>
      <c r="P16" s="32" t="e">
        <f t="shared" si="8"/>
        <v>#REF!</v>
      </c>
      <c r="Q16" s="31" t="e">
        <f t="shared" si="4"/>
        <v>#REF!</v>
      </c>
      <c r="R16" s="18">
        <f>SUMIFS('Processado 2'!$H:$H,'Processado 2'!$G:$G,'Execução do PA iNOVA'!$C16,'Processado 2'!$A:$A,2021,'Processado 2'!$B:$B,'Execução do PA iNOVA'!Q$5)</f>
        <v>0</v>
      </c>
      <c r="S16" s="32" t="e">
        <f t="shared" si="9"/>
        <v>#REF!</v>
      </c>
      <c r="T16" s="31" t="e">
        <f t="shared" si="4"/>
        <v>#REF!</v>
      </c>
      <c r="U16" s="18">
        <f>SUMIFS('Processado 2'!$H:$H,'Processado 2'!$G:$G,'Execução do PA iNOVA'!$C16,'Processado 2'!$A:$A,2021,'Processado 2'!$B:$B,'Execução do PA iNOVA'!T$5)</f>
        <v>0</v>
      </c>
      <c r="V16" s="32" t="e">
        <f t="shared" si="10"/>
        <v>#REF!</v>
      </c>
      <c r="W16" s="31" t="e">
        <f t="shared" si="4"/>
        <v>#REF!</v>
      </c>
      <c r="X16" s="18">
        <f>SUMIFS('Processado 2'!$H:$H,'Processado 2'!$G:$G,'Execução do PA iNOVA'!$C16,'Processado 2'!$A:$A,2021,'Processado 2'!$B:$B,'Execução do PA iNOVA'!W$5)</f>
        <v>0</v>
      </c>
      <c r="Y16" s="32" t="e">
        <f t="shared" si="11"/>
        <v>#REF!</v>
      </c>
      <c r="Z16" s="31" t="e">
        <f t="shared" si="4"/>
        <v>#REF!</v>
      </c>
      <c r="AA16" s="18">
        <f>SUMIFS('Processado 2'!$H:$H,'Processado 2'!$G:$G,'Execução do PA iNOVA'!$C16,'Processado 2'!$A:$A,2021,'Processado 2'!$B:$B,'Execução do PA iNOVA'!Z$5)</f>
        <v>0</v>
      </c>
      <c r="AB16" s="32" t="e">
        <f t="shared" si="12"/>
        <v>#REF!</v>
      </c>
      <c r="AC16" s="31" t="e">
        <f t="shared" si="4"/>
        <v>#REF!</v>
      </c>
      <c r="AD16" s="18">
        <f>SUMIFS('Processado 2'!$H:$H,'Processado 2'!$G:$G,'Execução do PA iNOVA'!$C16,'Processado 2'!$A:$A,2021,'Processado 2'!$B:$B,'Execução do PA iNOVA'!AC$5)</f>
        <v>0</v>
      </c>
      <c r="AE16" s="32" t="e">
        <f t="shared" si="13"/>
        <v>#REF!</v>
      </c>
      <c r="AF16" s="31" t="e">
        <f t="shared" si="4"/>
        <v>#REF!</v>
      </c>
      <c r="AG16" s="18">
        <f>SUMIFS('Processado 2'!$H:$H,'Processado 2'!$G:$G,'Execução do PA iNOVA'!$C16,'Processado 2'!$A:$A,2021,'Processado 2'!$B:$B,'Execução do PA iNOVA'!AF$5)</f>
        <v>0</v>
      </c>
      <c r="AH16" s="32" t="e">
        <f t="shared" si="14"/>
        <v>#REF!</v>
      </c>
      <c r="AI16" s="31" t="e">
        <f t="shared" si="4"/>
        <v>#REF!</v>
      </c>
      <c r="AJ16" s="18">
        <f>SUMIFS('Processado 2'!$H:$H,'Processado 2'!$G:$G,'Execução do PA iNOVA'!$C16,'Processado 2'!$A:$A,2021,'Processado 2'!$B:$B,'Execução do PA iNOVA'!AI$5)</f>
        <v>0</v>
      </c>
      <c r="AK16" s="32" t="e">
        <f t="shared" si="15"/>
        <v>#REF!</v>
      </c>
      <c r="AL16" s="31" t="e">
        <f t="shared" si="4"/>
        <v>#REF!</v>
      </c>
      <c r="AM16" s="18">
        <f>SUMIFS('Processado 2'!$H:$H,'Processado 2'!$G:$G,'Execução do PA iNOVA'!$C16,'Processado 2'!$A:$A,2021,'Processado 2'!$B:$B,'Execução do PA iNOVA'!AL$5)</f>
        <v>0</v>
      </c>
      <c r="AN16" s="32" t="e">
        <f t="shared" si="16"/>
        <v>#REF!</v>
      </c>
      <c r="AO16" s="17" t="e">
        <f t="shared" si="1"/>
        <v>#REF!</v>
      </c>
      <c r="AP16" s="18">
        <f t="shared" si="2"/>
        <v>0</v>
      </c>
      <c r="AQ16" s="32" t="e">
        <f t="shared" si="17"/>
        <v>#REF!</v>
      </c>
    </row>
    <row r="17" spans="2:43" x14ac:dyDescent="0.35">
      <c r="C17" t="s">
        <v>160</v>
      </c>
      <c r="D17" s="16">
        <v>0</v>
      </c>
      <c r="E17" s="17" t="e">
        <f t="shared" si="3"/>
        <v>#REF!</v>
      </c>
      <c r="F17" s="18">
        <f>SUMIFS('Processado 2'!$H:$H,'Processado 2'!$G:$G,'Execução do PA iNOVA'!$C17,'Processado 2'!$A:$A,2020,'Processado 2'!$B:$B,'Execução do PA iNOVA'!E$5)</f>
        <v>0</v>
      </c>
      <c r="G17" s="27" t="e">
        <f t="shared" si="5"/>
        <v>#REF!</v>
      </c>
      <c r="H17" s="31" t="e">
        <f t="shared" si="6"/>
        <v>#REF!</v>
      </c>
      <c r="I17" s="18">
        <f>SUMIFS('Processado 2'!$H:$H,'Processado 2'!$G:$G,'Execução do PA iNOVA'!$C17,'Processado 2'!$A:$A,2021,'Processado 2'!$B:$B,'Execução do PA iNOVA'!H$5)</f>
        <v>0</v>
      </c>
      <c r="J17" s="32" t="e">
        <f t="shared" si="0"/>
        <v>#REF!</v>
      </c>
      <c r="K17" s="31" t="e">
        <f t="shared" si="4"/>
        <v>#REF!</v>
      </c>
      <c r="L17" s="18">
        <f>SUMIFS('Processado 2'!$H:$H,'Processado 2'!$G:$G,'Execução do PA iNOVA'!$C17,'Processado 2'!$A:$A,2021,'Processado 2'!$B:$B,'Execução do PA iNOVA'!K$5)</f>
        <v>0</v>
      </c>
      <c r="M17" s="32" t="e">
        <f t="shared" si="7"/>
        <v>#REF!</v>
      </c>
      <c r="N17" s="31" t="e">
        <f t="shared" si="4"/>
        <v>#REF!</v>
      </c>
      <c r="O17" s="18">
        <f>SUMIFS('Processado 2'!$H:$H,'Processado 2'!$G:$G,'Execução do PA iNOVA'!$C17,'Processado 2'!$A:$A,2021,'Processado 2'!$B:$B,'Execução do PA iNOVA'!N$5)</f>
        <v>0</v>
      </c>
      <c r="P17" s="32" t="e">
        <f t="shared" si="8"/>
        <v>#REF!</v>
      </c>
      <c r="Q17" s="31" t="e">
        <f t="shared" si="4"/>
        <v>#REF!</v>
      </c>
      <c r="R17" s="18">
        <f>SUMIFS('Processado 2'!$H:$H,'Processado 2'!$G:$G,'Execução do PA iNOVA'!$C17,'Processado 2'!$A:$A,2021,'Processado 2'!$B:$B,'Execução do PA iNOVA'!Q$5)</f>
        <v>0</v>
      </c>
      <c r="S17" s="32" t="e">
        <f t="shared" si="9"/>
        <v>#REF!</v>
      </c>
      <c r="T17" s="31" t="e">
        <f t="shared" si="4"/>
        <v>#REF!</v>
      </c>
      <c r="U17" s="18">
        <f>SUMIFS('Processado 2'!$H:$H,'Processado 2'!$G:$G,'Execução do PA iNOVA'!$C17,'Processado 2'!$A:$A,2021,'Processado 2'!$B:$B,'Execução do PA iNOVA'!T$5)</f>
        <v>0</v>
      </c>
      <c r="V17" s="32" t="e">
        <f t="shared" si="10"/>
        <v>#REF!</v>
      </c>
      <c r="W17" s="31" t="e">
        <f t="shared" si="4"/>
        <v>#REF!</v>
      </c>
      <c r="X17" s="18">
        <f>SUMIFS('Processado 2'!$H:$H,'Processado 2'!$G:$G,'Execução do PA iNOVA'!$C17,'Processado 2'!$A:$A,2021,'Processado 2'!$B:$B,'Execução do PA iNOVA'!W$5)</f>
        <v>0</v>
      </c>
      <c r="Y17" s="32" t="e">
        <f t="shared" si="11"/>
        <v>#REF!</v>
      </c>
      <c r="Z17" s="31" t="e">
        <f t="shared" si="4"/>
        <v>#REF!</v>
      </c>
      <c r="AA17" s="18">
        <f>SUMIFS('Processado 2'!$H:$H,'Processado 2'!$G:$G,'Execução do PA iNOVA'!$C17,'Processado 2'!$A:$A,2021,'Processado 2'!$B:$B,'Execução do PA iNOVA'!Z$5)</f>
        <v>0</v>
      </c>
      <c r="AB17" s="32" t="e">
        <f t="shared" si="12"/>
        <v>#REF!</v>
      </c>
      <c r="AC17" s="31" t="e">
        <f t="shared" si="4"/>
        <v>#REF!</v>
      </c>
      <c r="AD17" s="18">
        <f>SUMIFS('Processado 2'!$H:$H,'Processado 2'!$G:$G,'Execução do PA iNOVA'!$C17,'Processado 2'!$A:$A,2021,'Processado 2'!$B:$B,'Execução do PA iNOVA'!AC$5)</f>
        <v>0</v>
      </c>
      <c r="AE17" s="32" t="e">
        <f t="shared" si="13"/>
        <v>#REF!</v>
      </c>
      <c r="AF17" s="31" t="e">
        <f t="shared" si="4"/>
        <v>#REF!</v>
      </c>
      <c r="AG17" s="18">
        <f>SUMIFS('Processado 2'!$H:$H,'Processado 2'!$G:$G,'Execução do PA iNOVA'!$C17,'Processado 2'!$A:$A,2021,'Processado 2'!$B:$B,'Execução do PA iNOVA'!AF$5)</f>
        <v>0</v>
      </c>
      <c r="AH17" s="32" t="e">
        <f t="shared" si="14"/>
        <v>#REF!</v>
      </c>
      <c r="AI17" s="31" t="e">
        <f t="shared" si="4"/>
        <v>#REF!</v>
      </c>
      <c r="AJ17" s="18">
        <f>SUMIFS('Processado 2'!$H:$H,'Processado 2'!$G:$G,'Execução do PA iNOVA'!$C17,'Processado 2'!$A:$A,2021,'Processado 2'!$B:$B,'Execução do PA iNOVA'!AI$5)</f>
        <v>0</v>
      </c>
      <c r="AK17" s="32" t="e">
        <f t="shared" si="15"/>
        <v>#REF!</v>
      </c>
      <c r="AL17" s="31" t="e">
        <f t="shared" si="4"/>
        <v>#REF!</v>
      </c>
      <c r="AM17" s="18">
        <f>SUMIFS('Processado 2'!$H:$H,'Processado 2'!$G:$G,'Execução do PA iNOVA'!$C17,'Processado 2'!$A:$A,2021,'Processado 2'!$B:$B,'Execução do PA iNOVA'!AL$5)</f>
        <v>0</v>
      </c>
      <c r="AN17" s="32" t="e">
        <f t="shared" si="16"/>
        <v>#REF!</v>
      </c>
      <c r="AO17" s="17" t="e">
        <f t="shared" si="1"/>
        <v>#REF!</v>
      </c>
      <c r="AP17" s="18">
        <f t="shared" si="2"/>
        <v>0</v>
      </c>
      <c r="AQ17" s="32" t="e">
        <f t="shared" si="17"/>
        <v>#REF!</v>
      </c>
    </row>
    <row r="18" spans="2:43" x14ac:dyDescent="0.35">
      <c r="C18" t="s">
        <v>17</v>
      </c>
      <c r="D18" s="16">
        <v>8.4673956788670846E-2</v>
      </c>
      <c r="E18" s="17" t="e">
        <f t="shared" si="3"/>
        <v>#REF!</v>
      </c>
      <c r="F18" s="18">
        <f>SUMIFS('Processado 2'!$H:$H,'Processado 2'!$G:$G,'Execução do PA iNOVA'!$C18,'Processado 2'!$A:$A,2020,'Processado 2'!$B:$B,'Execução do PA iNOVA'!E$5)</f>
        <v>0</v>
      </c>
      <c r="G18" s="27" t="e">
        <f t="shared" si="5"/>
        <v>#REF!</v>
      </c>
      <c r="H18" s="31" t="e">
        <f t="shared" si="6"/>
        <v>#REF!</v>
      </c>
      <c r="I18" s="18">
        <f>SUMIFS('Processado 2'!$H:$H,'Processado 2'!$G:$G,'Execução do PA iNOVA'!$C18,'Processado 2'!$A:$A,2021,'Processado 2'!$B:$B,'Execução do PA iNOVA'!H$5)</f>
        <v>0</v>
      </c>
      <c r="J18" s="32" t="e">
        <f t="shared" si="0"/>
        <v>#REF!</v>
      </c>
      <c r="K18" s="31" t="e">
        <f t="shared" si="4"/>
        <v>#REF!</v>
      </c>
      <c r="L18" s="18">
        <f>SUMIFS('Processado 2'!$H:$H,'Processado 2'!$G:$G,'Execução do PA iNOVA'!$C18,'Processado 2'!$A:$A,2021,'Processado 2'!$B:$B,'Execução do PA iNOVA'!K$5)</f>
        <v>0</v>
      </c>
      <c r="M18" s="32" t="e">
        <f t="shared" si="7"/>
        <v>#REF!</v>
      </c>
      <c r="N18" s="31" t="e">
        <f t="shared" si="4"/>
        <v>#REF!</v>
      </c>
      <c r="O18" s="18">
        <f>SUMIFS('Processado 2'!$H:$H,'Processado 2'!$G:$G,'Execução do PA iNOVA'!$C18,'Processado 2'!$A:$A,2021,'Processado 2'!$B:$B,'Execução do PA iNOVA'!N$5)</f>
        <v>0</v>
      </c>
      <c r="P18" s="32" t="e">
        <f t="shared" si="8"/>
        <v>#REF!</v>
      </c>
      <c r="Q18" s="31" t="e">
        <f t="shared" si="4"/>
        <v>#REF!</v>
      </c>
      <c r="R18" s="18">
        <f>SUMIFS('Processado 2'!$H:$H,'Processado 2'!$G:$G,'Execução do PA iNOVA'!$C18,'Processado 2'!$A:$A,2021,'Processado 2'!$B:$B,'Execução do PA iNOVA'!Q$5)</f>
        <v>0</v>
      </c>
      <c r="S18" s="32" t="e">
        <f t="shared" si="9"/>
        <v>#REF!</v>
      </c>
      <c r="T18" s="31" t="e">
        <f t="shared" si="4"/>
        <v>#REF!</v>
      </c>
      <c r="U18" s="18">
        <f>SUMIFS('Processado 2'!$H:$H,'Processado 2'!$G:$G,'Execução do PA iNOVA'!$C18,'Processado 2'!$A:$A,2021,'Processado 2'!$B:$B,'Execução do PA iNOVA'!T$5)</f>
        <v>0</v>
      </c>
      <c r="V18" s="32" t="e">
        <f t="shared" si="10"/>
        <v>#REF!</v>
      </c>
      <c r="W18" s="31" t="e">
        <f t="shared" si="4"/>
        <v>#REF!</v>
      </c>
      <c r="X18" s="18">
        <f>SUMIFS('Processado 2'!$H:$H,'Processado 2'!$G:$G,'Execução do PA iNOVA'!$C18,'Processado 2'!$A:$A,2021,'Processado 2'!$B:$B,'Execução do PA iNOVA'!W$5)</f>
        <v>0</v>
      </c>
      <c r="Y18" s="32" t="e">
        <f t="shared" si="11"/>
        <v>#REF!</v>
      </c>
      <c r="Z18" s="31" t="e">
        <f t="shared" si="4"/>
        <v>#REF!</v>
      </c>
      <c r="AA18" s="18">
        <f>SUMIFS('Processado 2'!$H:$H,'Processado 2'!$G:$G,'Execução do PA iNOVA'!$C18,'Processado 2'!$A:$A,2021,'Processado 2'!$B:$B,'Execução do PA iNOVA'!Z$5)</f>
        <v>0</v>
      </c>
      <c r="AB18" s="32" t="e">
        <f t="shared" si="12"/>
        <v>#REF!</v>
      </c>
      <c r="AC18" s="31" t="e">
        <f t="shared" si="4"/>
        <v>#REF!</v>
      </c>
      <c r="AD18" s="18">
        <f>SUMIFS('Processado 2'!$H:$H,'Processado 2'!$G:$G,'Execução do PA iNOVA'!$C18,'Processado 2'!$A:$A,2021,'Processado 2'!$B:$B,'Execução do PA iNOVA'!AC$5)</f>
        <v>0</v>
      </c>
      <c r="AE18" s="32" t="e">
        <f t="shared" si="13"/>
        <v>#REF!</v>
      </c>
      <c r="AF18" s="31" t="e">
        <f t="shared" si="4"/>
        <v>#REF!</v>
      </c>
      <c r="AG18" s="18">
        <f>SUMIFS('Processado 2'!$H:$H,'Processado 2'!$G:$G,'Execução do PA iNOVA'!$C18,'Processado 2'!$A:$A,2021,'Processado 2'!$B:$B,'Execução do PA iNOVA'!AF$5)</f>
        <v>0</v>
      </c>
      <c r="AH18" s="32" t="e">
        <f t="shared" si="14"/>
        <v>#REF!</v>
      </c>
      <c r="AI18" s="31" t="e">
        <f t="shared" si="4"/>
        <v>#REF!</v>
      </c>
      <c r="AJ18" s="18">
        <f>SUMIFS('Processado 2'!$H:$H,'Processado 2'!$G:$G,'Execução do PA iNOVA'!$C18,'Processado 2'!$A:$A,2021,'Processado 2'!$B:$B,'Execução do PA iNOVA'!AI$5)</f>
        <v>0</v>
      </c>
      <c r="AK18" s="32" t="e">
        <f t="shared" si="15"/>
        <v>#REF!</v>
      </c>
      <c r="AL18" s="31" t="e">
        <f t="shared" si="4"/>
        <v>#REF!</v>
      </c>
      <c r="AM18" s="18">
        <f>SUMIFS('Processado 2'!$H:$H,'Processado 2'!$G:$G,'Execução do PA iNOVA'!$C18,'Processado 2'!$A:$A,2021,'Processado 2'!$B:$B,'Execução do PA iNOVA'!AL$5)</f>
        <v>0</v>
      </c>
      <c r="AN18" s="32" t="e">
        <f t="shared" si="16"/>
        <v>#REF!</v>
      </c>
      <c r="AO18" s="17" t="e">
        <f t="shared" si="1"/>
        <v>#REF!</v>
      </c>
      <c r="AP18" s="18">
        <f t="shared" si="2"/>
        <v>0</v>
      </c>
      <c r="AQ18" s="32" t="e">
        <f t="shared" si="17"/>
        <v>#REF!</v>
      </c>
    </row>
    <row r="19" spans="2:43" x14ac:dyDescent="0.35">
      <c r="C19" t="s">
        <v>18</v>
      </c>
      <c r="D19" s="16">
        <v>1.9668978555424713E-2</v>
      </c>
      <c r="E19" s="17" t="e">
        <f t="shared" si="3"/>
        <v>#REF!</v>
      </c>
      <c r="F19" s="18">
        <f>SUMIFS('Processado 2'!$H:$H,'Processado 2'!$G:$G,'Execução do PA iNOVA'!$C19,'Processado 2'!$A:$A,2020,'Processado 2'!$B:$B,'Execução do PA iNOVA'!E$5)</f>
        <v>0</v>
      </c>
      <c r="G19" s="27" t="e">
        <f t="shared" si="5"/>
        <v>#REF!</v>
      </c>
      <c r="H19" s="31" t="e">
        <f t="shared" si="6"/>
        <v>#REF!</v>
      </c>
      <c r="I19" s="18">
        <f>SUMIFS('Processado 2'!$H:$H,'Processado 2'!$G:$G,'Execução do PA iNOVA'!$C19,'Processado 2'!$A:$A,2021,'Processado 2'!$B:$B,'Execução do PA iNOVA'!H$5)</f>
        <v>0</v>
      </c>
      <c r="J19" s="32" t="e">
        <f t="shared" si="0"/>
        <v>#REF!</v>
      </c>
      <c r="K19" s="31" t="e">
        <f t="shared" si="4"/>
        <v>#REF!</v>
      </c>
      <c r="L19" s="18">
        <f>SUMIFS('Processado 2'!$H:$H,'Processado 2'!$G:$G,'Execução do PA iNOVA'!$C19,'Processado 2'!$A:$A,2021,'Processado 2'!$B:$B,'Execução do PA iNOVA'!K$5)</f>
        <v>0</v>
      </c>
      <c r="M19" s="32" t="e">
        <f t="shared" si="7"/>
        <v>#REF!</v>
      </c>
      <c r="N19" s="31" t="e">
        <f t="shared" si="4"/>
        <v>#REF!</v>
      </c>
      <c r="O19" s="18">
        <f>SUMIFS('Processado 2'!$H:$H,'Processado 2'!$G:$G,'Execução do PA iNOVA'!$C19,'Processado 2'!$A:$A,2021,'Processado 2'!$B:$B,'Execução do PA iNOVA'!N$5)</f>
        <v>0</v>
      </c>
      <c r="P19" s="32" t="e">
        <f t="shared" si="8"/>
        <v>#REF!</v>
      </c>
      <c r="Q19" s="31" t="e">
        <f t="shared" si="4"/>
        <v>#REF!</v>
      </c>
      <c r="R19" s="18">
        <f>SUMIFS('Processado 2'!$H:$H,'Processado 2'!$G:$G,'Execução do PA iNOVA'!$C19,'Processado 2'!$A:$A,2021,'Processado 2'!$B:$B,'Execução do PA iNOVA'!Q$5)</f>
        <v>0</v>
      </c>
      <c r="S19" s="32" t="e">
        <f t="shared" si="9"/>
        <v>#REF!</v>
      </c>
      <c r="T19" s="31" t="e">
        <f t="shared" si="4"/>
        <v>#REF!</v>
      </c>
      <c r="U19" s="18">
        <f>SUMIFS('Processado 2'!$H:$H,'Processado 2'!$G:$G,'Execução do PA iNOVA'!$C19,'Processado 2'!$A:$A,2021,'Processado 2'!$B:$B,'Execução do PA iNOVA'!T$5)</f>
        <v>0</v>
      </c>
      <c r="V19" s="32" t="e">
        <f t="shared" si="10"/>
        <v>#REF!</v>
      </c>
      <c r="W19" s="31" t="e">
        <f t="shared" si="4"/>
        <v>#REF!</v>
      </c>
      <c r="X19" s="18">
        <f>SUMIFS('Processado 2'!$H:$H,'Processado 2'!$G:$G,'Execução do PA iNOVA'!$C19,'Processado 2'!$A:$A,2021,'Processado 2'!$B:$B,'Execução do PA iNOVA'!W$5)</f>
        <v>0</v>
      </c>
      <c r="Y19" s="32" t="e">
        <f t="shared" si="11"/>
        <v>#REF!</v>
      </c>
      <c r="Z19" s="31" t="e">
        <f t="shared" si="4"/>
        <v>#REF!</v>
      </c>
      <c r="AA19" s="18">
        <f>SUMIFS('Processado 2'!$H:$H,'Processado 2'!$G:$G,'Execução do PA iNOVA'!$C19,'Processado 2'!$A:$A,2021,'Processado 2'!$B:$B,'Execução do PA iNOVA'!Z$5)</f>
        <v>0</v>
      </c>
      <c r="AB19" s="32" t="e">
        <f t="shared" si="12"/>
        <v>#REF!</v>
      </c>
      <c r="AC19" s="31" t="e">
        <f t="shared" si="4"/>
        <v>#REF!</v>
      </c>
      <c r="AD19" s="18">
        <f>SUMIFS('Processado 2'!$H:$H,'Processado 2'!$G:$G,'Execução do PA iNOVA'!$C19,'Processado 2'!$A:$A,2021,'Processado 2'!$B:$B,'Execução do PA iNOVA'!AC$5)</f>
        <v>0</v>
      </c>
      <c r="AE19" s="32" t="e">
        <f t="shared" si="13"/>
        <v>#REF!</v>
      </c>
      <c r="AF19" s="31" t="e">
        <f t="shared" si="4"/>
        <v>#REF!</v>
      </c>
      <c r="AG19" s="18">
        <f>SUMIFS('Processado 2'!$H:$H,'Processado 2'!$G:$G,'Execução do PA iNOVA'!$C19,'Processado 2'!$A:$A,2021,'Processado 2'!$B:$B,'Execução do PA iNOVA'!AF$5)</f>
        <v>0</v>
      </c>
      <c r="AH19" s="32" t="e">
        <f t="shared" si="14"/>
        <v>#REF!</v>
      </c>
      <c r="AI19" s="31" t="e">
        <f t="shared" si="4"/>
        <v>#REF!</v>
      </c>
      <c r="AJ19" s="18">
        <f>SUMIFS('Processado 2'!$H:$H,'Processado 2'!$G:$G,'Execução do PA iNOVA'!$C19,'Processado 2'!$A:$A,2021,'Processado 2'!$B:$B,'Execução do PA iNOVA'!AI$5)</f>
        <v>0</v>
      </c>
      <c r="AK19" s="32" t="e">
        <f t="shared" si="15"/>
        <v>#REF!</v>
      </c>
      <c r="AL19" s="31" t="e">
        <f t="shared" si="4"/>
        <v>#REF!</v>
      </c>
      <c r="AM19" s="18">
        <f>SUMIFS('Processado 2'!$H:$H,'Processado 2'!$G:$G,'Execução do PA iNOVA'!$C19,'Processado 2'!$A:$A,2021,'Processado 2'!$B:$B,'Execução do PA iNOVA'!AL$5)</f>
        <v>0</v>
      </c>
      <c r="AN19" s="32" t="e">
        <f t="shared" si="16"/>
        <v>#REF!</v>
      </c>
      <c r="AO19" s="17" t="e">
        <f t="shared" si="1"/>
        <v>#REF!</v>
      </c>
      <c r="AP19" s="18">
        <f t="shared" si="2"/>
        <v>0</v>
      </c>
      <c r="AQ19" s="32" t="e">
        <f t="shared" si="17"/>
        <v>#REF!</v>
      </c>
    </row>
    <row r="20" spans="2:43" x14ac:dyDescent="0.35">
      <c r="D20" s="19"/>
      <c r="E20" s="20"/>
      <c r="H20" s="33"/>
      <c r="J20" s="34"/>
      <c r="K20" s="33"/>
      <c r="M20" s="34"/>
      <c r="N20" s="33"/>
      <c r="P20" s="34"/>
      <c r="Q20" s="33"/>
      <c r="S20" s="34"/>
      <c r="T20" s="33"/>
      <c r="V20" s="34"/>
      <c r="W20" s="33"/>
      <c r="Y20" s="34"/>
      <c r="Z20" s="33"/>
      <c r="AB20" s="34"/>
      <c r="AC20" s="33"/>
      <c r="AE20" s="34"/>
      <c r="AF20" s="33"/>
      <c r="AH20" s="34"/>
      <c r="AI20" s="33"/>
      <c r="AK20" s="34"/>
      <c r="AL20" s="33"/>
      <c r="AN20" s="34"/>
      <c r="AO20" s="20"/>
      <c r="AQ20" s="34"/>
    </row>
    <row r="21" spans="2:43" s="13" customFormat="1" x14ac:dyDescent="0.35">
      <c r="B21" s="21" t="s">
        <v>78</v>
      </c>
      <c r="C21" s="21"/>
      <c r="D21" s="22">
        <v>2.6599486082775292E-2</v>
      </c>
      <c r="E21" s="23" t="e">
        <f>#REF!*$D21</f>
        <v>#REF!</v>
      </c>
      <c r="F21" s="24">
        <f>SUM(F22:F25)</f>
        <v>0</v>
      </c>
      <c r="G21" s="26" t="e">
        <f>E21-F21</f>
        <v>#REF!</v>
      </c>
      <c r="H21" s="29" t="e">
        <f>#REF!*$D21</f>
        <v>#REF!</v>
      </c>
      <c r="I21" s="24">
        <f>SUM(I22:I25)</f>
        <v>0</v>
      </c>
      <c r="J21" s="30" t="e">
        <f>H21-I21+G21</f>
        <v>#REF!</v>
      </c>
      <c r="K21" s="29" t="e">
        <f>#REF!*$D21</f>
        <v>#REF!</v>
      </c>
      <c r="L21" s="24">
        <f>SUM(L22:L25)</f>
        <v>0</v>
      </c>
      <c r="M21" s="30" t="e">
        <f>K21-L21+J21</f>
        <v>#REF!</v>
      </c>
      <c r="N21" s="29" t="e">
        <f>#REF!*$D21</f>
        <v>#REF!</v>
      </c>
      <c r="O21" s="24">
        <f>SUM(O22:O25)</f>
        <v>0</v>
      </c>
      <c r="P21" s="30" t="e">
        <f>N21-O21+M21</f>
        <v>#REF!</v>
      </c>
      <c r="Q21" s="29" t="e">
        <f>#REF!*$D21</f>
        <v>#REF!</v>
      </c>
      <c r="R21" s="24">
        <f>SUM(R22:R25)</f>
        <v>0</v>
      </c>
      <c r="S21" s="30" t="e">
        <f>Q21-R21+P21</f>
        <v>#REF!</v>
      </c>
      <c r="T21" s="29" t="e">
        <f>#REF!*$D21</f>
        <v>#REF!</v>
      </c>
      <c r="U21" s="24">
        <f>SUM(U22:U25)</f>
        <v>0</v>
      </c>
      <c r="V21" s="30" t="e">
        <f>T21-U21+S21</f>
        <v>#REF!</v>
      </c>
      <c r="W21" s="29" t="e">
        <f>#REF!*$D21</f>
        <v>#REF!</v>
      </c>
      <c r="X21" s="24">
        <f>SUM(X22:X25)</f>
        <v>0</v>
      </c>
      <c r="Y21" s="30" t="e">
        <f>W21-X21+V21</f>
        <v>#REF!</v>
      </c>
      <c r="Z21" s="29" t="e">
        <f>#REF!*$D21</f>
        <v>#REF!</v>
      </c>
      <c r="AA21" s="24">
        <f>SUM(AA22:AA25)</f>
        <v>0</v>
      </c>
      <c r="AB21" s="30" t="e">
        <f>Z21-AA21+Y21</f>
        <v>#REF!</v>
      </c>
      <c r="AC21" s="29" t="e">
        <f>#REF!*$D21</f>
        <v>#REF!</v>
      </c>
      <c r="AD21" s="24">
        <f>SUM(AD22:AD25)</f>
        <v>0</v>
      </c>
      <c r="AE21" s="30" t="e">
        <f>AC21-AD21+AB21</f>
        <v>#REF!</v>
      </c>
      <c r="AF21" s="29" t="e">
        <f>#REF!*$D21</f>
        <v>#REF!</v>
      </c>
      <c r="AG21" s="24">
        <f>SUM(AG22:AG25)</f>
        <v>0</v>
      </c>
      <c r="AH21" s="30" t="e">
        <f>AF21-AG21+AE21</f>
        <v>#REF!</v>
      </c>
      <c r="AI21" s="29" t="e">
        <f>#REF!*$D21</f>
        <v>#REF!</v>
      </c>
      <c r="AJ21" s="24">
        <f>SUM(AJ22:AJ25)</f>
        <v>0</v>
      </c>
      <c r="AK21" s="30" t="e">
        <f>AI21-AJ21+AH21</f>
        <v>#REF!</v>
      </c>
      <c r="AL21" s="29" t="e">
        <f>#REF!*$D21</f>
        <v>#REF!</v>
      </c>
      <c r="AM21" s="24">
        <f>SUM(AM22:AM25)</f>
        <v>0</v>
      </c>
      <c r="AN21" s="30" t="e">
        <f>AL21-AM21+AK21</f>
        <v>#REF!</v>
      </c>
      <c r="AO21" s="23" t="e">
        <f t="shared" ref="AO21:AP25" si="18">SUM(AL21,AI21,AF21,AC21,Z21,W21,T21,Q21,N21,K21,H21,E21)</f>
        <v>#REF!</v>
      </c>
      <c r="AP21" s="24">
        <f t="shared" si="18"/>
        <v>0</v>
      </c>
      <c r="AQ21" s="30" t="e">
        <f>AO21-AP21</f>
        <v>#REF!</v>
      </c>
    </row>
    <row r="22" spans="2:43" x14ac:dyDescent="0.35">
      <c r="C22" t="s">
        <v>19</v>
      </c>
      <c r="D22" s="16">
        <v>0.39222423046112764</v>
      </c>
      <c r="E22" s="17" t="e">
        <f>E$21*$D22</f>
        <v>#REF!</v>
      </c>
      <c r="F22" s="18">
        <f>SUMIFS('Processado 2'!$H:$H,'Processado 2'!$G:$G,'Execução do PA iNOVA'!$C22,'Processado 2'!$A:$A,2020,'Processado 2'!$B:$B,'Execução do PA iNOVA'!E$5)</f>
        <v>0</v>
      </c>
      <c r="G22" s="27" t="e">
        <f>E22-F22</f>
        <v>#REF!</v>
      </c>
      <c r="H22" s="31" t="e">
        <f>H$21*$D22</f>
        <v>#REF!</v>
      </c>
      <c r="I22" s="18">
        <f>SUMIFS('Processado 2'!$H:$H,'Processado 2'!$G:$G,'Execução do PA iNOVA'!$C22,'Processado 2'!$A:$A,2021,'Processado 2'!$B:$B,'Execução do PA iNOVA'!H$5)</f>
        <v>0</v>
      </c>
      <c r="J22" s="32" t="e">
        <f>H22-I22+G22</f>
        <v>#REF!</v>
      </c>
      <c r="K22" s="31" t="e">
        <f t="shared" ref="K22:AL25" si="19">K$21*$D22</f>
        <v>#REF!</v>
      </c>
      <c r="L22" s="18">
        <f>SUMIFS('Processado 2'!$H:$H,'Processado 2'!$G:$G,'Execução do PA iNOVA'!$C22,'Processado 2'!$A:$A,2021,'Processado 2'!$B:$B,'Execução do PA iNOVA'!K$5)</f>
        <v>0</v>
      </c>
      <c r="M22" s="32" t="e">
        <f>K22-L22+J22</f>
        <v>#REF!</v>
      </c>
      <c r="N22" s="31" t="e">
        <f t="shared" si="19"/>
        <v>#REF!</v>
      </c>
      <c r="O22" s="18">
        <f>SUMIFS('Processado 2'!$H:$H,'Processado 2'!$G:$G,'Execução do PA iNOVA'!$C22,'Processado 2'!$A:$A,2021,'Processado 2'!$B:$B,'Execução do PA iNOVA'!N$5)</f>
        <v>0</v>
      </c>
      <c r="P22" s="32" t="e">
        <f>N22-O22+M22</f>
        <v>#REF!</v>
      </c>
      <c r="Q22" s="31" t="e">
        <f t="shared" si="19"/>
        <v>#REF!</v>
      </c>
      <c r="R22" s="18">
        <f>SUMIFS('Processado 2'!$H:$H,'Processado 2'!$G:$G,'Execução do PA iNOVA'!$C22,'Processado 2'!$A:$A,2021,'Processado 2'!$B:$B,'Execução do PA iNOVA'!Q$5)</f>
        <v>0</v>
      </c>
      <c r="S22" s="32" t="e">
        <f>Q22-R22+P22</f>
        <v>#REF!</v>
      </c>
      <c r="T22" s="31" t="e">
        <f t="shared" si="19"/>
        <v>#REF!</v>
      </c>
      <c r="U22" s="18">
        <f>SUMIFS('Processado 2'!$H:$H,'Processado 2'!$G:$G,'Execução do PA iNOVA'!$C22,'Processado 2'!$A:$A,2021,'Processado 2'!$B:$B,'Execução do PA iNOVA'!T$5)</f>
        <v>0</v>
      </c>
      <c r="V22" s="32" t="e">
        <f>T22-U22+S22</f>
        <v>#REF!</v>
      </c>
      <c r="W22" s="31" t="e">
        <f t="shared" si="19"/>
        <v>#REF!</v>
      </c>
      <c r="X22" s="18">
        <f>SUMIFS('Processado 2'!$H:$H,'Processado 2'!$G:$G,'Execução do PA iNOVA'!$C22,'Processado 2'!$A:$A,2021,'Processado 2'!$B:$B,'Execução do PA iNOVA'!W$5)</f>
        <v>0</v>
      </c>
      <c r="Y22" s="32" t="e">
        <f>W22-X22+V22</f>
        <v>#REF!</v>
      </c>
      <c r="Z22" s="31" t="e">
        <f t="shared" si="19"/>
        <v>#REF!</v>
      </c>
      <c r="AA22" s="18">
        <f>SUMIFS('Processado 2'!$H:$H,'Processado 2'!$G:$G,'Execução do PA iNOVA'!$C22,'Processado 2'!$A:$A,2021,'Processado 2'!$B:$B,'Execução do PA iNOVA'!Z$5)</f>
        <v>0</v>
      </c>
      <c r="AB22" s="32" t="e">
        <f>Z22-AA22+Y22</f>
        <v>#REF!</v>
      </c>
      <c r="AC22" s="31" t="e">
        <f t="shared" si="19"/>
        <v>#REF!</v>
      </c>
      <c r="AD22" s="18">
        <f>SUMIFS('Processado 2'!$H:$H,'Processado 2'!$G:$G,'Execução do PA iNOVA'!$C22,'Processado 2'!$A:$A,2021,'Processado 2'!$B:$B,'Execução do PA iNOVA'!AC$5)</f>
        <v>0</v>
      </c>
      <c r="AE22" s="32" t="e">
        <f>AC22-AD22+AB22</f>
        <v>#REF!</v>
      </c>
      <c r="AF22" s="31" t="e">
        <f t="shared" si="19"/>
        <v>#REF!</v>
      </c>
      <c r="AG22" s="18">
        <f>SUMIFS('Processado 2'!$H:$H,'Processado 2'!$G:$G,'Execução do PA iNOVA'!$C22,'Processado 2'!$A:$A,2021,'Processado 2'!$B:$B,'Execução do PA iNOVA'!AF$5)</f>
        <v>0</v>
      </c>
      <c r="AH22" s="32" t="e">
        <f>AF22-AG22+AE22</f>
        <v>#REF!</v>
      </c>
      <c r="AI22" s="31" t="e">
        <f t="shared" si="19"/>
        <v>#REF!</v>
      </c>
      <c r="AJ22" s="18">
        <f>SUMIFS('Processado 2'!$H:$H,'Processado 2'!$G:$G,'Execução do PA iNOVA'!$C22,'Processado 2'!$A:$A,2021,'Processado 2'!$B:$B,'Execução do PA iNOVA'!AI$5)</f>
        <v>0</v>
      </c>
      <c r="AK22" s="32" t="e">
        <f>AI22-AJ22+AH22</f>
        <v>#REF!</v>
      </c>
      <c r="AL22" s="31" t="e">
        <f t="shared" si="19"/>
        <v>#REF!</v>
      </c>
      <c r="AM22" s="18">
        <f>SUMIFS('Processado 2'!$H:$H,'Processado 2'!$G:$G,'Execução do PA iNOVA'!$C22,'Processado 2'!$A:$A,2021,'Processado 2'!$B:$B,'Execução do PA iNOVA'!AL$5)</f>
        <v>0</v>
      </c>
      <c r="AN22" s="32" t="e">
        <f>AL22-AM22+AK22</f>
        <v>#REF!</v>
      </c>
      <c r="AO22" s="17" t="e">
        <f t="shared" si="18"/>
        <v>#REF!</v>
      </c>
      <c r="AP22" s="18">
        <f t="shared" si="18"/>
        <v>0</v>
      </c>
      <c r="AQ22" s="32" t="e">
        <f>AO22-AP22</f>
        <v>#REF!</v>
      </c>
    </row>
    <row r="23" spans="2:43" x14ac:dyDescent="0.35">
      <c r="C23" t="s">
        <v>21</v>
      </c>
      <c r="D23" s="16">
        <v>0.10312897780145866</v>
      </c>
      <c r="E23" s="17" t="e">
        <f>E$21*$D23</f>
        <v>#REF!</v>
      </c>
      <c r="F23" s="18">
        <f>SUMIFS('Processado 2'!$H:$H,'Processado 2'!$G:$G,'Execução do PA iNOVA'!$C23,'Processado 2'!$A:$A,2020,'Processado 2'!$B:$B,'Execução do PA iNOVA'!E$5)</f>
        <v>0</v>
      </c>
      <c r="G23" s="27" t="e">
        <f t="shared" ref="G23:G25" si="20">E23-F23</f>
        <v>#REF!</v>
      </c>
      <c r="H23" s="31" t="e">
        <f t="shared" ref="H23:H25" si="21">H$21*$D23</f>
        <v>#REF!</v>
      </c>
      <c r="I23" s="18">
        <f>SUMIFS('Processado 2'!$H:$H,'Processado 2'!$G:$G,'Execução do PA iNOVA'!$C23,'Processado 2'!$A:$A,2021,'Processado 2'!$B:$B,'Execução do PA iNOVA'!H$5)</f>
        <v>0</v>
      </c>
      <c r="J23" s="32" t="e">
        <f>H23-I23+G23</f>
        <v>#REF!</v>
      </c>
      <c r="K23" s="31" t="e">
        <f t="shared" si="19"/>
        <v>#REF!</v>
      </c>
      <c r="L23" s="18">
        <f>SUMIFS('Processado 2'!$H:$H,'Processado 2'!$G:$G,'Execução do PA iNOVA'!$C23,'Processado 2'!$A:$A,2021,'Processado 2'!$B:$B,'Execução do PA iNOVA'!K$5)</f>
        <v>0</v>
      </c>
      <c r="M23" s="32" t="e">
        <f t="shared" ref="M23:M25" si="22">K23-L23+J23</f>
        <v>#REF!</v>
      </c>
      <c r="N23" s="31" t="e">
        <f t="shared" si="19"/>
        <v>#REF!</v>
      </c>
      <c r="O23" s="18">
        <f>SUMIFS('Processado 2'!$H:$H,'Processado 2'!$G:$G,'Execução do PA iNOVA'!$C23,'Processado 2'!$A:$A,2021,'Processado 2'!$B:$B,'Execução do PA iNOVA'!N$5)</f>
        <v>0</v>
      </c>
      <c r="P23" s="32" t="e">
        <f t="shared" ref="P23:P25" si="23">N23-O23+M23</f>
        <v>#REF!</v>
      </c>
      <c r="Q23" s="31" t="e">
        <f t="shared" si="19"/>
        <v>#REF!</v>
      </c>
      <c r="R23" s="18">
        <f>SUMIFS('Processado 2'!$H:$H,'Processado 2'!$G:$G,'Execução do PA iNOVA'!$C23,'Processado 2'!$A:$A,2021,'Processado 2'!$B:$B,'Execução do PA iNOVA'!Q$5)</f>
        <v>0</v>
      </c>
      <c r="S23" s="32" t="e">
        <f t="shared" ref="S23:S25" si="24">Q23-R23+P23</f>
        <v>#REF!</v>
      </c>
      <c r="T23" s="31" t="e">
        <f t="shared" si="19"/>
        <v>#REF!</v>
      </c>
      <c r="U23" s="18">
        <f>SUMIFS('Processado 2'!$H:$H,'Processado 2'!$G:$G,'Execução do PA iNOVA'!$C23,'Processado 2'!$A:$A,2021,'Processado 2'!$B:$B,'Execução do PA iNOVA'!T$5)</f>
        <v>0</v>
      </c>
      <c r="V23" s="32" t="e">
        <f t="shared" ref="V23:V25" si="25">T23-U23+S23</f>
        <v>#REF!</v>
      </c>
      <c r="W23" s="31" t="e">
        <f t="shared" si="19"/>
        <v>#REF!</v>
      </c>
      <c r="X23" s="18">
        <f>SUMIFS('Processado 2'!$H:$H,'Processado 2'!$G:$G,'Execução do PA iNOVA'!$C23,'Processado 2'!$A:$A,2021,'Processado 2'!$B:$B,'Execução do PA iNOVA'!W$5)</f>
        <v>0</v>
      </c>
      <c r="Y23" s="32" t="e">
        <f t="shared" ref="Y23:Y25" si="26">W23-X23+V23</f>
        <v>#REF!</v>
      </c>
      <c r="Z23" s="31" t="e">
        <f t="shared" si="19"/>
        <v>#REF!</v>
      </c>
      <c r="AA23" s="18">
        <f>SUMIFS('Processado 2'!$H:$H,'Processado 2'!$G:$G,'Execução do PA iNOVA'!$C23,'Processado 2'!$A:$A,2021,'Processado 2'!$B:$B,'Execução do PA iNOVA'!Z$5)</f>
        <v>0</v>
      </c>
      <c r="AB23" s="32" t="e">
        <f t="shared" ref="AB23:AB25" si="27">Z23-AA23+Y23</f>
        <v>#REF!</v>
      </c>
      <c r="AC23" s="31" t="e">
        <f t="shared" si="19"/>
        <v>#REF!</v>
      </c>
      <c r="AD23" s="18">
        <f>SUMIFS('Processado 2'!$H:$H,'Processado 2'!$G:$G,'Execução do PA iNOVA'!$C23,'Processado 2'!$A:$A,2021,'Processado 2'!$B:$B,'Execução do PA iNOVA'!AC$5)</f>
        <v>0</v>
      </c>
      <c r="AE23" s="32" t="e">
        <f t="shared" ref="AE23:AE25" si="28">AC23-AD23+AB23</f>
        <v>#REF!</v>
      </c>
      <c r="AF23" s="31" t="e">
        <f t="shared" si="19"/>
        <v>#REF!</v>
      </c>
      <c r="AG23" s="18">
        <f>SUMIFS('Processado 2'!$H:$H,'Processado 2'!$G:$G,'Execução do PA iNOVA'!$C23,'Processado 2'!$A:$A,2021,'Processado 2'!$B:$B,'Execução do PA iNOVA'!AF$5)</f>
        <v>0</v>
      </c>
      <c r="AH23" s="32" t="e">
        <f t="shared" ref="AH23:AH25" si="29">AF23-AG23+AE23</f>
        <v>#REF!</v>
      </c>
      <c r="AI23" s="31" t="e">
        <f t="shared" si="19"/>
        <v>#REF!</v>
      </c>
      <c r="AJ23" s="18">
        <f>SUMIFS('Processado 2'!$H:$H,'Processado 2'!$G:$G,'Execução do PA iNOVA'!$C23,'Processado 2'!$A:$A,2021,'Processado 2'!$B:$B,'Execução do PA iNOVA'!AI$5)</f>
        <v>0</v>
      </c>
      <c r="AK23" s="32" t="e">
        <f t="shared" ref="AK23:AK25" si="30">AI23-AJ23+AH23</f>
        <v>#REF!</v>
      </c>
      <c r="AL23" s="31" t="e">
        <f t="shared" si="19"/>
        <v>#REF!</v>
      </c>
      <c r="AM23" s="18">
        <f>SUMIFS('Processado 2'!$H:$H,'Processado 2'!$G:$G,'Execução do PA iNOVA'!$C23,'Processado 2'!$A:$A,2021,'Processado 2'!$B:$B,'Execução do PA iNOVA'!AL$5)</f>
        <v>0</v>
      </c>
      <c r="AN23" s="32" t="e">
        <f t="shared" ref="AN23:AN25" si="31">AL23-AM23+AK23</f>
        <v>#REF!</v>
      </c>
      <c r="AO23" s="17" t="e">
        <f t="shared" si="18"/>
        <v>#REF!</v>
      </c>
      <c r="AP23" s="18">
        <f t="shared" si="18"/>
        <v>0</v>
      </c>
      <c r="AQ23" s="32" t="e">
        <f t="shared" ref="AQ23:AQ25" si="32">AO23-AP23</f>
        <v>#REF!</v>
      </c>
    </row>
    <row r="24" spans="2:43" x14ac:dyDescent="0.35">
      <c r="C24" t="s">
        <v>22</v>
      </c>
      <c r="D24" s="16">
        <v>0.12872706409008869</v>
      </c>
      <c r="E24" s="17" t="e">
        <f>E$21*$D24</f>
        <v>#REF!</v>
      </c>
      <c r="F24" s="18">
        <f>SUMIFS('Processado 2'!$H:$H,'Processado 2'!$G:$G,'Execução do PA iNOVA'!$C24,'Processado 2'!$A:$A,2020,'Processado 2'!$B:$B,'Execução do PA iNOVA'!E$5)</f>
        <v>0</v>
      </c>
      <c r="G24" s="27" t="e">
        <f t="shared" si="20"/>
        <v>#REF!</v>
      </c>
      <c r="H24" s="31" t="e">
        <f t="shared" si="21"/>
        <v>#REF!</v>
      </c>
      <c r="I24" s="18">
        <f>SUMIFS('Processado 2'!$H:$H,'Processado 2'!$G:$G,'Execução do PA iNOVA'!$C24,'Processado 2'!$A:$A,2021,'Processado 2'!$B:$B,'Execução do PA iNOVA'!H$5)</f>
        <v>0</v>
      </c>
      <c r="J24" s="32" t="e">
        <f>H24-I24+G24</f>
        <v>#REF!</v>
      </c>
      <c r="K24" s="31" t="e">
        <f t="shared" si="19"/>
        <v>#REF!</v>
      </c>
      <c r="L24" s="18">
        <f>SUMIFS('Processado 2'!$H:$H,'Processado 2'!$G:$G,'Execução do PA iNOVA'!$C24,'Processado 2'!$A:$A,2021,'Processado 2'!$B:$B,'Execução do PA iNOVA'!K$5)</f>
        <v>0</v>
      </c>
      <c r="M24" s="32" t="e">
        <f t="shared" si="22"/>
        <v>#REF!</v>
      </c>
      <c r="N24" s="31" t="e">
        <f t="shared" si="19"/>
        <v>#REF!</v>
      </c>
      <c r="O24" s="18">
        <f>SUMIFS('Processado 2'!$H:$H,'Processado 2'!$G:$G,'Execução do PA iNOVA'!$C24,'Processado 2'!$A:$A,2021,'Processado 2'!$B:$B,'Execução do PA iNOVA'!N$5)</f>
        <v>0</v>
      </c>
      <c r="P24" s="32" t="e">
        <f t="shared" si="23"/>
        <v>#REF!</v>
      </c>
      <c r="Q24" s="31" t="e">
        <f t="shared" si="19"/>
        <v>#REF!</v>
      </c>
      <c r="R24" s="18">
        <f>SUMIFS('Processado 2'!$H:$H,'Processado 2'!$G:$G,'Execução do PA iNOVA'!$C24,'Processado 2'!$A:$A,2021,'Processado 2'!$B:$B,'Execução do PA iNOVA'!Q$5)</f>
        <v>0</v>
      </c>
      <c r="S24" s="32" t="e">
        <f t="shared" si="24"/>
        <v>#REF!</v>
      </c>
      <c r="T24" s="31" t="e">
        <f t="shared" si="19"/>
        <v>#REF!</v>
      </c>
      <c r="U24" s="18">
        <f>SUMIFS('Processado 2'!$H:$H,'Processado 2'!$G:$G,'Execução do PA iNOVA'!$C24,'Processado 2'!$A:$A,2021,'Processado 2'!$B:$B,'Execução do PA iNOVA'!T$5)</f>
        <v>0</v>
      </c>
      <c r="V24" s="32" t="e">
        <f t="shared" si="25"/>
        <v>#REF!</v>
      </c>
      <c r="W24" s="31" t="e">
        <f t="shared" si="19"/>
        <v>#REF!</v>
      </c>
      <c r="X24" s="18">
        <f>SUMIFS('Processado 2'!$H:$H,'Processado 2'!$G:$G,'Execução do PA iNOVA'!$C24,'Processado 2'!$A:$A,2021,'Processado 2'!$B:$B,'Execução do PA iNOVA'!W$5)</f>
        <v>0</v>
      </c>
      <c r="Y24" s="32" t="e">
        <f t="shared" si="26"/>
        <v>#REF!</v>
      </c>
      <c r="Z24" s="31" t="e">
        <f t="shared" si="19"/>
        <v>#REF!</v>
      </c>
      <c r="AA24" s="18">
        <f>SUMIFS('Processado 2'!$H:$H,'Processado 2'!$G:$G,'Execução do PA iNOVA'!$C24,'Processado 2'!$A:$A,2021,'Processado 2'!$B:$B,'Execução do PA iNOVA'!Z$5)</f>
        <v>0</v>
      </c>
      <c r="AB24" s="32" t="e">
        <f t="shared" si="27"/>
        <v>#REF!</v>
      </c>
      <c r="AC24" s="31" t="e">
        <f t="shared" si="19"/>
        <v>#REF!</v>
      </c>
      <c r="AD24" s="18">
        <f>SUMIFS('Processado 2'!$H:$H,'Processado 2'!$G:$G,'Execução do PA iNOVA'!$C24,'Processado 2'!$A:$A,2021,'Processado 2'!$B:$B,'Execução do PA iNOVA'!AC$5)</f>
        <v>0</v>
      </c>
      <c r="AE24" s="32" t="e">
        <f t="shared" si="28"/>
        <v>#REF!</v>
      </c>
      <c r="AF24" s="31" t="e">
        <f t="shared" si="19"/>
        <v>#REF!</v>
      </c>
      <c r="AG24" s="18">
        <f>SUMIFS('Processado 2'!$H:$H,'Processado 2'!$G:$G,'Execução do PA iNOVA'!$C24,'Processado 2'!$A:$A,2021,'Processado 2'!$B:$B,'Execução do PA iNOVA'!AF$5)</f>
        <v>0</v>
      </c>
      <c r="AH24" s="32" t="e">
        <f t="shared" si="29"/>
        <v>#REF!</v>
      </c>
      <c r="AI24" s="31" t="e">
        <f t="shared" si="19"/>
        <v>#REF!</v>
      </c>
      <c r="AJ24" s="18">
        <f>SUMIFS('Processado 2'!$H:$H,'Processado 2'!$G:$G,'Execução do PA iNOVA'!$C24,'Processado 2'!$A:$A,2021,'Processado 2'!$B:$B,'Execução do PA iNOVA'!AI$5)</f>
        <v>0</v>
      </c>
      <c r="AK24" s="32" t="e">
        <f t="shared" si="30"/>
        <v>#REF!</v>
      </c>
      <c r="AL24" s="31" t="e">
        <f t="shared" si="19"/>
        <v>#REF!</v>
      </c>
      <c r="AM24" s="18">
        <f>SUMIFS('Processado 2'!$H:$H,'Processado 2'!$G:$G,'Execução do PA iNOVA'!$C24,'Processado 2'!$A:$A,2021,'Processado 2'!$B:$B,'Execução do PA iNOVA'!AL$5)</f>
        <v>0</v>
      </c>
      <c r="AN24" s="32" t="e">
        <f t="shared" si="31"/>
        <v>#REF!</v>
      </c>
      <c r="AO24" s="17" t="e">
        <f t="shared" si="18"/>
        <v>#REF!</v>
      </c>
      <c r="AP24" s="18">
        <f t="shared" si="18"/>
        <v>0</v>
      </c>
      <c r="AQ24" s="32" t="e">
        <f t="shared" si="32"/>
        <v>#REF!</v>
      </c>
    </row>
    <row r="25" spans="2:43" x14ac:dyDescent="0.35">
      <c r="C25" t="s">
        <v>20</v>
      </c>
      <c r="D25" s="16">
        <v>0.37591972764732495</v>
      </c>
      <c r="E25" s="17" t="e">
        <f>E$21*$D25</f>
        <v>#REF!</v>
      </c>
      <c r="F25" s="18">
        <f>SUMIFS('Processado 2'!$H:$H,'Processado 2'!$G:$G,'Execução do PA iNOVA'!$C25,'Processado 2'!$A:$A,2020,'Processado 2'!$B:$B,'Execução do PA iNOVA'!E$5)</f>
        <v>0</v>
      </c>
      <c r="G25" s="27" t="e">
        <f t="shared" si="20"/>
        <v>#REF!</v>
      </c>
      <c r="H25" s="31" t="e">
        <f t="shared" si="21"/>
        <v>#REF!</v>
      </c>
      <c r="I25" s="18">
        <f>SUMIFS('Processado 2'!$H:$H,'Processado 2'!$G:$G,'Execução do PA iNOVA'!$C25,'Processado 2'!$A:$A,2021,'Processado 2'!$B:$B,'Execução do PA iNOVA'!H$5)</f>
        <v>0</v>
      </c>
      <c r="J25" s="32" t="e">
        <f>H25-I25+G25</f>
        <v>#REF!</v>
      </c>
      <c r="K25" s="31" t="e">
        <f t="shared" si="19"/>
        <v>#REF!</v>
      </c>
      <c r="L25" s="18">
        <f>SUMIFS('Processado 2'!$H:$H,'Processado 2'!$G:$G,'Execução do PA iNOVA'!$C25,'Processado 2'!$A:$A,2021,'Processado 2'!$B:$B,'Execução do PA iNOVA'!K$5)</f>
        <v>0</v>
      </c>
      <c r="M25" s="32" t="e">
        <f t="shared" si="22"/>
        <v>#REF!</v>
      </c>
      <c r="N25" s="31" t="e">
        <f t="shared" si="19"/>
        <v>#REF!</v>
      </c>
      <c r="O25" s="18">
        <f>SUMIFS('Processado 2'!$H:$H,'Processado 2'!$G:$G,'Execução do PA iNOVA'!$C25,'Processado 2'!$A:$A,2021,'Processado 2'!$B:$B,'Execução do PA iNOVA'!N$5)</f>
        <v>0</v>
      </c>
      <c r="P25" s="32" t="e">
        <f t="shared" si="23"/>
        <v>#REF!</v>
      </c>
      <c r="Q25" s="31" t="e">
        <f t="shared" si="19"/>
        <v>#REF!</v>
      </c>
      <c r="R25" s="18">
        <f>SUMIFS('Processado 2'!$H:$H,'Processado 2'!$G:$G,'Execução do PA iNOVA'!$C25,'Processado 2'!$A:$A,2021,'Processado 2'!$B:$B,'Execução do PA iNOVA'!Q$5)</f>
        <v>0</v>
      </c>
      <c r="S25" s="32" t="e">
        <f t="shared" si="24"/>
        <v>#REF!</v>
      </c>
      <c r="T25" s="31" t="e">
        <f t="shared" si="19"/>
        <v>#REF!</v>
      </c>
      <c r="U25" s="18">
        <f>SUMIFS('Processado 2'!$H:$H,'Processado 2'!$G:$G,'Execução do PA iNOVA'!$C25,'Processado 2'!$A:$A,2021,'Processado 2'!$B:$B,'Execução do PA iNOVA'!T$5)</f>
        <v>0</v>
      </c>
      <c r="V25" s="32" t="e">
        <f t="shared" si="25"/>
        <v>#REF!</v>
      </c>
      <c r="W25" s="31" t="e">
        <f t="shared" si="19"/>
        <v>#REF!</v>
      </c>
      <c r="X25" s="18">
        <f>SUMIFS('Processado 2'!$H:$H,'Processado 2'!$G:$G,'Execução do PA iNOVA'!$C25,'Processado 2'!$A:$A,2021,'Processado 2'!$B:$B,'Execução do PA iNOVA'!W$5)</f>
        <v>0</v>
      </c>
      <c r="Y25" s="32" t="e">
        <f t="shared" si="26"/>
        <v>#REF!</v>
      </c>
      <c r="Z25" s="31" t="e">
        <f t="shared" si="19"/>
        <v>#REF!</v>
      </c>
      <c r="AA25" s="18">
        <f>SUMIFS('Processado 2'!$H:$H,'Processado 2'!$G:$G,'Execução do PA iNOVA'!$C25,'Processado 2'!$A:$A,2021,'Processado 2'!$B:$B,'Execução do PA iNOVA'!Z$5)</f>
        <v>0</v>
      </c>
      <c r="AB25" s="32" t="e">
        <f t="shared" si="27"/>
        <v>#REF!</v>
      </c>
      <c r="AC25" s="31" t="e">
        <f t="shared" si="19"/>
        <v>#REF!</v>
      </c>
      <c r="AD25" s="18">
        <f>SUMIFS('Processado 2'!$H:$H,'Processado 2'!$G:$G,'Execução do PA iNOVA'!$C25,'Processado 2'!$A:$A,2021,'Processado 2'!$B:$B,'Execução do PA iNOVA'!AC$5)</f>
        <v>0</v>
      </c>
      <c r="AE25" s="32" t="e">
        <f t="shared" si="28"/>
        <v>#REF!</v>
      </c>
      <c r="AF25" s="31" t="e">
        <f t="shared" si="19"/>
        <v>#REF!</v>
      </c>
      <c r="AG25" s="18">
        <f>SUMIFS('Processado 2'!$H:$H,'Processado 2'!$G:$G,'Execução do PA iNOVA'!$C25,'Processado 2'!$A:$A,2021,'Processado 2'!$B:$B,'Execução do PA iNOVA'!AF$5)</f>
        <v>0</v>
      </c>
      <c r="AH25" s="32" t="e">
        <f t="shared" si="29"/>
        <v>#REF!</v>
      </c>
      <c r="AI25" s="31" t="e">
        <f t="shared" si="19"/>
        <v>#REF!</v>
      </c>
      <c r="AJ25" s="18">
        <f>SUMIFS('Processado 2'!$H:$H,'Processado 2'!$G:$G,'Execução do PA iNOVA'!$C25,'Processado 2'!$A:$A,2021,'Processado 2'!$B:$B,'Execução do PA iNOVA'!AI$5)</f>
        <v>0</v>
      </c>
      <c r="AK25" s="32" t="e">
        <f t="shared" si="30"/>
        <v>#REF!</v>
      </c>
      <c r="AL25" s="31" t="e">
        <f t="shared" si="19"/>
        <v>#REF!</v>
      </c>
      <c r="AM25" s="18">
        <f>SUMIFS('Processado 2'!$H:$H,'Processado 2'!$G:$G,'Execução do PA iNOVA'!$C25,'Processado 2'!$A:$A,2021,'Processado 2'!$B:$B,'Execução do PA iNOVA'!AL$5)</f>
        <v>0</v>
      </c>
      <c r="AN25" s="32" t="e">
        <f t="shared" si="31"/>
        <v>#REF!</v>
      </c>
      <c r="AO25" s="17" t="e">
        <f t="shared" si="18"/>
        <v>#REF!</v>
      </c>
      <c r="AP25" s="18">
        <f t="shared" si="18"/>
        <v>0</v>
      </c>
      <c r="AQ25" s="32" t="e">
        <f t="shared" si="32"/>
        <v>#REF!</v>
      </c>
    </row>
    <row r="26" spans="2:43" x14ac:dyDescent="0.35">
      <c r="D26" s="19"/>
      <c r="E26" s="20"/>
      <c r="H26" s="33"/>
      <c r="J26" s="34"/>
      <c r="K26" s="33"/>
      <c r="M26" s="34"/>
      <c r="N26" s="33"/>
      <c r="P26" s="34"/>
      <c r="Q26" s="33"/>
      <c r="S26" s="34"/>
      <c r="T26" s="33"/>
      <c r="V26" s="34"/>
      <c r="W26" s="33"/>
      <c r="Y26" s="34"/>
      <c r="Z26" s="33"/>
      <c r="AB26" s="34"/>
      <c r="AC26" s="33"/>
      <c r="AE26" s="34"/>
      <c r="AF26" s="33"/>
      <c r="AH26" s="34"/>
      <c r="AI26" s="33"/>
      <c r="AK26" s="34"/>
      <c r="AL26" s="33"/>
      <c r="AN26" s="34"/>
      <c r="AO26" s="20"/>
      <c r="AQ26" s="34"/>
    </row>
    <row r="27" spans="2:43" s="13" customFormat="1" x14ac:dyDescent="0.35">
      <c r="B27" s="21" t="s">
        <v>79</v>
      </c>
      <c r="C27" s="21"/>
      <c r="D27" s="22">
        <v>0.43111855493339801</v>
      </c>
      <c r="E27" s="23" t="e">
        <f>#REF!*$D27</f>
        <v>#REF!</v>
      </c>
      <c r="F27" s="24">
        <f>SUM(F28:F38)</f>
        <v>0</v>
      </c>
      <c r="G27" s="26" t="e">
        <f>E27-F27</f>
        <v>#REF!</v>
      </c>
      <c r="H27" s="29" t="e">
        <f>#REF!*$D27</f>
        <v>#REF!</v>
      </c>
      <c r="I27" s="24">
        <f>SUM(I28:I38)</f>
        <v>0</v>
      </c>
      <c r="J27" s="30" t="e">
        <f t="shared" ref="J27:J38" si="33">H27-I27+G27</f>
        <v>#REF!</v>
      </c>
      <c r="K27" s="29" t="e">
        <f>#REF!*$D27</f>
        <v>#REF!</v>
      </c>
      <c r="L27" s="24">
        <f>SUM(L28:L38)</f>
        <v>0</v>
      </c>
      <c r="M27" s="30" t="e">
        <f>K27-L27+J27</f>
        <v>#REF!</v>
      </c>
      <c r="N27" s="29" t="e">
        <f>#REF!*$D27</f>
        <v>#REF!</v>
      </c>
      <c r="O27" s="24">
        <f>SUM(O28:O38)</f>
        <v>0</v>
      </c>
      <c r="P27" s="30" t="e">
        <f>N27-O27+M27</f>
        <v>#REF!</v>
      </c>
      <c r="Q27" s="29" t="e">
        <f>#REF!*$D27</f>
        <v>#REF!</v>
      </c>
      <c r="R27" s="24">
        <f>SUM(R28:R38)</f>
        <v>0</v>
      </c>
      <c r="S27" s="30" t="e">
        <f>Q27-R27+P27</f>
        <v>#REF!</v>
      </c>
      <c r="T27" s="29" t="e">
        <f>#REF!*$D27</f>
        <v>#REF!</v>
      </c>
      <c r="U27" s="24">
        <f>SUM(U28:U38)</f>
        <v>0</v>
      </c>
      <c r="V27" s="30" t="e">
        <f>T27-U27+S27</f>
        <v>#REF!</v>
      </c>
      <c r="W27" s="29" t="e">
        <f>#REF!*$D27</f>
        <v>#REF!</v>
      </c>
      <c r="X27" s="24">
        <f>SUM(X28:X38)</f>
        <v>0</v>
      </c>
      <c r="Y27" s="30" t="e">
        <f>W27-X27+V27</f>
        <v>#REF!</v>
      </c>
      <c r="Z27" s="29" t="e">
        <f>#REF!*$D27</f>
        <v>#REF!</v>
      </c>
      <c r="AA27" s="24">
        <f>SUM(AA28:AA38)</f>
        <v>0</v>
      </c>
      <c r="AB27" s="30" t="e">
        <f>Z27-AA27+Y27</f>
        <v>#REF!</v>
      </c>
      <c r="AC27" s="29" t="e">
        <f>#REF!*$D27</f>
        <v>#REF!</v>
      </c>
      <c r="AD27" s="24">
        <f>SUM(AD28:AD38)</f>
        <v>0</v>
      </c>
      <c r="AE27" s="30" t="e">
        <f>AC27-AD27+AB27</f>
        <v>#REF!</v>
      </c>
      <c r="AF27" s="29" t="e">
        <f>#REF!*$D27</f>
        <v>#REF!</v>
      </c>
      <c r="AG27" s="24">
        <f>SUM(AG28:AG38)</f>
        <v>0</v>
      </c>
      <c r="AH27" s="30" t="e">
        <f>AF27-AG27+AE27</f>
        <v>#REF!</v>
      </c>
      <c r="AI27" s="29" t="e">
        <f>#REF!*$D27</f>
        <v>#REF!</v>
      </c>
      <c r="AJ27" s="24">
        <f>SUM(AJ28:AJ38)</f>
        <v>0</v>
      </c>
      <c r="AK27" s="30" t="e">
        <f>AI27-AJ27+AH27</f>
        <v>#REF!</v>
      </c>
      <c r="AL27" s="29" t="e">
        <f>#REF!*$D27</f>
        <v>#REF!</v>
      </c>
      <c r="AM27" s="24">
        <f>SUM(AM28:AM38)</f>
        <v>0</v>
      </c>
      <c r="AN27" s="30" t="e">
        <f>AL27-AM27+AK27</f>
        <v>#REF!</v>
      </c>
      <c r="AO27" s="23" t="e">
        <f t="shared" ref="AO27:AO38" si="34">SUM(AL27,AI27,AF27,AC27,Z27,W27,T27,Q27,N27,K27,H27,E27)</f>
        <v>#REF!</v>
      </c>
      <c r="AP27" s="24">
        <f t="shared" ref="AP27:AP38" si="35">SUM(AM27,AJ27,AG27,AD27,AA27,X27,U27,R27,O27,L27,I27,F27)</f>
        <v>0</v>
      </c>
      <c r="AQ27" s="30" t="e">
        <f>AO27-AP27</f>
        <v>#REF!</v>
      </c>
    </row>
    <row r="28" spans="2:43" x14ac:dyDescent="0.35">
      <c r="C28" t="s">
        <v>163</v>
      </c>
      <c r="D28" s="16">
        <v>0.34180318759191791</v>
      </c>
      <c r="E28" s="17" t="e">
        <f t="shared" ref="E28:E38" si="36">E$27*$D28</f>
        <v>#REF!</v>
      </c>
      <c r="F28" s="18">
        <f>SUMIF(Tabela!$T:$T,'Execução do PA iNOVA'!$C28,Tabela!AD:AD)</f>
        <v>0</v>
      </c>
      <c r="G28" s="27" t="e">
        <f>E28-F28</f>
        <v>#REF!</v>
      </c>
      <c r="H28" s="31" t="e">
        <f t="shared" ref="H28:AL38" si="37">H$27*$D28</f>
        <v>#REF!</v>
      </c>
      <c r="I28" s="18">
        <f>SUMIF(Tabela!$T:$T,'Execução do PA iNOVA'!$C28,Tabela!AE:AE)</f>
        <v>0</v>
      </c>
      <c r="J28" s="32" t="e">
        <f t="shared" si="33"/>
        <v>#REF!</v>
      </c>
      <c r="K28" s="31" t="e">
        <f t="shared" si="37"/>
        <v>#REF!</v>
      </c>
      <c r="L28" s="18">
        <f>SUMIF(Tabela!$T:$T,'Execução do PA iNOVA'!$C28,Tabela!AF:AF)</f>
        <v>0</v>
      </c>
      <c r="M28" s="32" t="e">
        <f>K28-L28+J28</f>
        <v>#REF!</v>
      </c>
      <c r="N28" s="31" t="e">
        <f t="shared" si="37"/>
        <v>#REF!</v>
      </c>
      <c r="O28" s="18">
        <f>SUMIF(Tabela!$T:$T,'Execução do PA iNOVA'!$C28,Tabela!AG:AG)</f>
        <v>0</v>
      </c>
      <c r="P28" s="32" t="e">
        <f>N28-O28+M28</f>
        <v>#REF!</v>
      </c>
      <c r="Q28" s="31" t="e">
        <f t="shared" si="37"/>
        <v>#REF!</v>
      </c>
      <c r="R28" s="18">
        <f>SUMIF(Tabela!$T:$T,'Execução do PA iNOVA'!$C28,Tabela!AH:AH)</f>
        <v>0</v>
      </c>
      <c r="S28" s="32" t="e">
        <f>Q28-R28+P28</f>
        <v>#REF!</v>
      </c>
      <c r="T28" s="31" t="e">
        <f t="shared" si="37"/>
        <v>#REF!</v>
      </c>
      <c r="U28" s="18">
        <f>SUMIF(Tabela!$T:$T,'Execução do PA iNOVA'!$C28,Tabela!AI:AI)</f>
        <v>0</v>
      </c>
      <c r="V28" s="32" t="e">
        <f>T28-U28+S28</f>
        <v>#REF!</v>
      </c>
      <c r="W28" s="31" t="e">
        <f t="shared" si="37"/>
        <v>#REF!</v>
      </c>
      <c r="X28" s="18">
        <f>SUMIF(Tabela!$T:$T,'Execução do PA iNOVA'!$C28,Tabela!AO:AO)</f>
        <v>0</v>
      </c>
      <c r="Y28" s="32" t="e">
        <f>W28-X28+V28</f>
        <v>#REF!</v>
      </c>
      <c r="Z28" s="31" t="e">
        <f t="shared" si="37"/>
        <v>#REF!</v>
      </c>
      <c r="AA28" s="18">
        <f>SUMIF(Tabela!$T:$T,'Execução do PA iNOVA'!$C28,Tabela!AQ:AQ)</f>
        <v>0</v>
      </c>
      <c r="AB28" s="32" t="e">
        <f>Z28-AA28+Y28</f>
        <v>#REF!</v>
      </c>
      <c r="AC28" s="31" t="e">
        <f t="shared" si="37"/>
        <v>#REF!</v>
      </c>
      <c r="AD28" s="18">
        <f>SUMIF(Tabela!$T:$T,'Execução do PA iNOVA'!$C28,Tabela!AS:AS)</f>
        <v>0</v>
      </c>
      <c r="AE28" s="32" t="e">
        <f>AC28-AD28+AB28</f>
        <v>#REF!</v>
      </c>
      <c r="AF28" s="31" t="e">
        <f t="shared" si="37"/>
        <v>#REF!</v>
      </c>
      <c r="AG28" s="18">
        <f>SUMIF(Tabela!$T:$T,'Execução do PA iNOVA'!$C28,Tabela!AU:AU)</f>
        <v>0</v>
      </c>
      <c r="AH28" s="32" t="e">
        <f>AF28-AG28+AE28</f>
        <v>#REF!</v>
      </c>
      <c r="AI28" s="31" t="e">
        <f t="shared" si="37"/>
        <v>#REF!</v>
      </c>
      <c r="AJ28" s="18">
        <f>SUMIF(Tabela!$T:$T,'Execução do PA iNOVA'!$C28,Tabela!AW:AW)</f>
        <v>0</v>
      </c>
      <c r="AK28" s="32" t="e">
        <f>AI28-AJ28+AH28</f>
        <v>#REF!</v>
      </c>
      <c r="AL28" s="31" t="e">
        <f t="shared" si="37"/>
        <v>#REF!</v>
      </c>
      <c r="AM28" s="18">
        <f>SUMIF(Tabela!$T:$T,'Execução do PA iNOVA'!$C28,Tabela!AY:AY)</f>
        <v>0</v>
      </c>
      <c r="AN28" s="32" t="e">
        <f>AL28-AM28+AK28</f>
        <v>#REF!</v>
      </c>
      <c r="AO28" s="17" t="e">
        <f t="shared" si="34"/>
        <v>#REF!</v>
      </c>
      <c r="AP28" s="18">
        <f t="shared" si="35"/>
        <v>0</v>
      </c>
      <c r="AQ28" s="32" t="e">
        <f>AO28-AP28</f>
        <v>#REF!</v>
      </c>
    </row>
    <row r="29" spans="2:43" x14ac:dyDescent="0.35">
      <c r="C29" t="s">
        <v>762</v>
      </c>
      <c r="D29" s="16">
        <v>0.2878756922662572</v>
      </c>
      <c r="E29" s="17" t="e">
        <f t="shared" si="36"/>
        <v>#REF!</v>
      </c>
      <c r="F29" s="18">
        <f>SUMIF(Tabela!$T:$T,'Execução do PA iNOVA'!$C29,Tabela!AD:AD)</f>
        <v>0</v>
      </c>
      <c r="G29" s="27" t="e">
        <f t="shared" ref="G29:G38" si="38">E29-F29</f>
        <v>#REF!</v>
      </c>
      <c r="H29" s="31" t="e">
        <f t="shared" si="37"/>
        <v>#REF!</v>
      </c>
      <c r="I29" s="18">
        <f>SUMIF(Tabela!$T:$T,'Execução do PA iNOVA'!$C29,Tabela!AE:AE)</f>
        <v>0</v>
      </c>
      <c r="J29" s="32" t="e">
        <f t="shared" si="33"/>
        <v>#REF!</v>
      </c>
      <c r="K29" s="31" t="e">
        <f t="shared" si="37"/>
        <v>#REF!</v>
      </c>
      <c r="L29" s="18">
        <f>SUMIF(Tabela!$T:$T,'Execução do PA iNOVA'!$C29,Tabela!AF:AF)</f>
        <v>0</v>
      </c>
      <c r="M29" s="32" t="e">
        <f t="shared" ref="M29:M38" si="39">K29-L29+J29</f>
        <v>#REF!</v>
      </c>
      <c r="N29" s="31" t="e">
        <f t="shared" si="37"/>
        <v>#REF!</v>
      </c>
      <c r="O29" s="18">
        <f>SUMIF(Tabela!$T:$T,'Execução do PA iNOVA'!$C29,Tabela!AG:AG)</f>
        <v>0</v>
      </c>
      <c r="P29" s="32" t="e">
        <f t="shared" ref="P29:P38" si="40">N29-O29+M29</f>
        <v>#REF!</v>
      </c>
      <c r="Q29" s="31" t="e">
        <f t="shared" si="37"/>
        <v>#REF!</v>
      </c>
      <c r="R29" s="18">
        <f>SUMIF(Tabela!$T:$T,'Execução do PA iNOVA'!$C29,Tabela!AH:AH)</f>
        <v>0</v>
      </c>
      <c r="S29" s="32" t="e">
        <f t="shared" ref="S29:S38" si="41">Q29-R29+P29</f>
        <v>#REF!</v>
      </c>
      <c r="T29" s="31" t="e">
        <f t="shared" si="37"/>
        <v>#REF!</v>
      </c>
      <c r="U29" s="18">
        <f>SUMIF(Tabela!$T:$T,'Execução do PA iNOVA'!$C29,Tabela!AI:AI)</f>
        <v>0</v>
      </c>
      <c r="V29" s="32" t="e">
        <f t="shared" ref="V29:V38" si="42">T29-U29+S29</f>
        <v>#REF!</v>
      </c>
      <c r="W29" s="31" t="e">
        <f t="shared" si="37"/>
        <v>#REF!</v>
      </c>
      <c r="X29" s="18">
        <f>SUMIF(Tabela!$T:$T,'Execução do PA iNOVA'!$C29,Tabela!AO:AO)</f>
        <v>0</v>
      </c>
      <c r="Y29" s="32" t="e">
        <f t="shared" ref="Y29:Y38" si="43">W29-X29+V29</f>
        <v>#REF!</v>
      </c>
      <c r="Z29" s="31" t="e">
        <f t="shared" si="37"/>
        <v>#REF!</v>
      </c>
      <c r="AA29" s="18">
        <f>SUMIF(Tabela!$T:$T,'Execução do PA iNOVA'!$C29,Tabela!AQ:AQ)</f>
        <v>0</v>
      </c>
      <c r="AB29" s="32" t="e">
        <f t="shared" ref="AB29:AB38" si="44">Z29-AA29+Y29</f>
        <v>#REF!</v>
      </c>
      <c r="AC29" s="31" t="e">
        <f t="shared" si="37"/>
        <v>#REF!</v>
      </c>
      <c r="AD29" s="18">
        <f>SUMIF(Tabela!$T:$T,'Execução do PA iNOVA'!$C29,Tabela!AS:AS)</f>
        <v>0</v>
      </c>
      <c r="AE29" s="32" t="e">
        <f t="shared" ref="AE29:AE38" si="45">AC29-AD29+AB29</f>
        <v>#REF!</v>
      </c>
      <c r="AF29" s="31" t="e">
        <f t="shared" si="37"/>
        <v>#REF!</v>
      </c>
      <c r="AG29" s="18">
        <f>SUMIF(Tabela!$T:$T,'Execução do PA iNOVA'!$C29,Tabela!AU:AU)</f>
        <v>0</v>
      </c>
      <c r="AH29" s="32" t="e">
        <f t="shared" ref="AH29:AH38" si="46">AF29-AG29+AE29</f>
        <v>#REF!</v>
      </c>
      <c r="AI29" s="31" t="e">
        <f t="shared" si="37"/>
        <v>#REF!</v>
      </c>
      <c r="AJ29" s="18">
        <f>SUMIF(Tabela!$T:$T,'Execução do PA iNOVA'!$C29,Tabela!AW:AW)</f>
        <v>0</v>
      </c>
      <c r="AK29" s="32" t="e">
        <f t="shared" ref="AK29:AK38" si="47">AI29-AJ29+AH29</f>
        <v>#REF!</v>
      </c>
      <c r="AL29" s="31" t="e">
        <f t="shared" si="37"/>
        <v>#REF!</v>
      </c>
      <c r="AM29" s="18">
        <f>SUMIF(Tabela!$T:$T,'Execução do PA iNOVA'!$C29,Tabela!AY:AY)</f>
        <v>0</v>
      </c>
      <c r="AN29" s="32" t="e">
        <f t="shared" ref="AN29:AN38" si="48">AL29-AM29+AK29</f>
        <v>#REF!</v>
      </c>
      <c r="AO29" s="17" t="e">
        <f t="shared" si="34"/>
        <v>#REF!</v>
      </c>
      <c r="AP29" s="18">
        <f t="shared" si="35"/>
        <v>0</v>
      </c>
      <c r="AQ29" s="32" t="e">
        <f t="shared" ref="AQ29:AQ38" si="49">AO29-AP29</f>
        <v>#REF!</v>
      </c>
    </row>
    <row r="30" spans="2:43" x14ac:dyDescent="0.35">
      <c r="C30" t="s">
        <v>24</v>
      </c>
      <c r="D30" s="16">
        <v>7.0214341676249833E-2</v>
      </c>
      <c r="E30" s="17" t="e">
        <f t="shared" si="36"/>
        <v>#REF!</v>
      </c>
      <c r="F30" s="18">
        <f>SUMIF(Tabela!$T:$T,'Execução do PA iNOVA'!$C30,Tabela!AD:AD)</f>
        <v>0</v>
      </c>
      <c r="G30" s="27" t="e">
        <f t="shared" si="38"/>
        <v>#REF!</v>
      </c>
      <c r="H30" s="31" t="e">
        <f t="shared" si="37"/>
        <v>#REF!</v>
      </c>
      <c r="I30" s="18">
        <f>SUMIF(Tabela!$T:$T,'Execução do PA iNOVA'!$C30,Tabela!AE:AE)</f>
        <v>0</v>
      </c>
      <c r="J30" s="32" t="e">
        <f t="shared" si="33"/>
        <v>#REF!</v>
      </c>
      <c r="K30" s="31" t="e">
        <f t="shared" si="37"/>
        <v>#REF!</v>
      </c>
      <c r="L30" s="18">
        <f>SUMIF(Tabela!$T:$T,'Execução do PA iNOVA'!$C30,Tabela!AF:AF)</f>
        <v>0</v>
      </c>
      <c r="M30" s="32" t="e">
        <f t="shared" si="39"/>
        <v>#REF!</v>
      </c>
      <c r="N30" s="31" t="e">
        <f t="shared" si="37"/>
        <v>#REF!</v>
      </c>
      <c r="O30" s="18">
        <f>SUMIF(Tabela!$T:$T,'Execução do PA iNOVA'!$C30,Tabela!AG:AG)</f>
        <v>0</v>
      </c>
      <c r="P30" s="32" t="e">
        <f t="shared" si="40"/>
        <v>#REF!</v>
      </c>
      <c r="Q30" s="31" t="e">
        <f t="shared" si="37"/>
        <v>#REF!</v>
      </c>
      <c r="R30" s="18">
        <f>SUMIF(Tabela!$T:$T,'Execução do PA iNOVA'!$C30,Tabela!AH:AH)</f>
        <v>0</v>
      </c>
      <c r="S30" s="32" t="e">
        <f t="shared" si="41"/>
        <v>#REF!</v>
      </c>
      <c r="T30" s="31" t="e">
        <f t="shared" si="37"/>
        <v>#REF!</v>
      </c>
      <c r="U30" s="18">
        <f>SUMIF(Tabela!$T:$T,'Execução do PA iNOVA'!$C30,Tabela!AI:AI)</f>
        <v>0</v>
      </c>
      <c r="V30" s="32" t="e">
        <f t="shared" si="42"/>
        <v>#REF!</v>
      </c>
      <c r="W30" s="31" t="e">
        <f t="shared" si="37"/>
        <v>#REF!</v>
      </c>
      <c r="X30" s="18">
        <f>SUMIF(Tabela!$T:$T,'Execução do PA iNOVA'!$C30,Tabela!AO:AO)</f>
        <v>0</v>
      </c>
      <c r="Y30" s="32" t="e">
        <f t="shared" si="43"/>
        <v>#REF!</v>
      </c>
      <c r="Z30" s="31" t="e">
        <f t="shared" si="37"/>
        <v>#REF!</v>
      </c>
      <c r="AA30" s="18">
        <f>SUMIF(Tabela!$T:$T,'Execução do PA iNOVA'!$C30,Tabela!AQ:AQ)</f>
        <v>0</v>
      </c>
      <c r="AB30" s="32" t="e">
        <f t="shared" si="44"/>
        <v>#REF!</v>
      </c>
      <c r="AC30" s="31" t="e">
        <f t="shared" si="37"/>
        <v>#REF!</v>
      </c>
      <c r="AD30" s="18">
        <f>SUMIF(Tabela!$T:$T,'Execução do PA iNOVA'!$C30,Tabela!AS:AS)</f>
        <v>0</v>
      </c>
      <c r="AE30" s="32" t="e">
        <f t="shared" si="45"/>
        <v>#REF!</v>
      </c>
      <c r="AF30" s="31" t="e">
        <f t="shared" si="37"/>
        <v>#REF!</v>
      </c>
      <c r="AG30" s="18">
        <f>SUMIF(Tabela!$T:$T,'Execução do PA iNOVA'!$C30,Tabela!AU:AU)</f>
        <v>0</v>
      </c>
      <c r="AH30" s="32" t="e">
        <f t="shared" si="46"/>
        <v>#REF!</v>
      </c>
      <c r="AI30" s="31" t="e">
        <f t="shared" si="37"/>
        <v>#REF!</v>
      </c>
      <c r="AJ30" s="18">
        <f>SUMIF(Tabela!$T:$T,'Execução do PA iNOVA'!$C30,Tabela!AW:AW)</f>
        <v>0</v>
      </c>
      <c r="AK30" s="32" t="e">
        <f t="shared" si="47"/>
        <v>#REF!</v>
      </c>
      <c r="AL30" s="31" t="e">
        <f t="shared" si="37"/>
        <v>#REF!</v>
      </c>
      <c r="AM30" s="18">
        <f>SUMIF(Tabela!$T:$T,'Execução do PA iNOVA'!$C30,Tabela!AY:AY)</f>
        <v>0</v>
      </c>
      <c r="AN30" s="32" t="e">
        <f t="shared" si="48"/>
        <v>#REF!</v>
      </c>
      <c r="AO30" s="17" t="e">
        <f t="shared" si="34"/>
        <v>#REF!</v>
      </c>
      <c r="AP30" s="18">
        <f t="shared" si="35"/>
        <v>0</v>
      </c>
      <c r="AQ30" s="32" t="e">
        <f t="shared" si="49"/>
        <v>#REF!</v>
      </c>
    </row>
    <row r="31" spans="2:43" x14ac:dyDescent="0.35">
      <c r="C31" t="s">
        <v>25</v>
      </c>
      <c r="D31" s="16">
        <v>3.5181332596142673E-2</v>
      </c>
      <c r="E31" s="17" t="e">
        <f t="shared" si="36"/>
        <v>#REF!</v>
      </c>
      <c r="F31" s="18">
        <f>SUMIF(Tabela!$T:$T,'Execução do PA iNOVA'!$C31,Tabela!AD:AD)</f>
        <v>0</v>
      </c>
      <c r="G31" s="27" t="e">
        <f t="shared" si="38"/>
        <v>#REF!</v>
      </c>
      <c r="H31" s="31" t="e">
        <f t="shared" si="37"/>
        <v>#REF!</v>
      </c>
      <c r="I31" s="18">
        <f>SUMIF(Tabela!$T:$T,'Execução do PA iNOVA'!$C31,Tabela!AE:AE)</f>
        <v>0</v>
      </c>
      <c r="J31" s="32" t="e">
        <f t="shared" si="33"/>
        <v>#REF!</v>
      </c>
      <c r="K31" s="31" t="e">
        <f t="shared" si="37"/>
        <v>#REF!</v>
      </c>
      <c r="L31" s="18">
        <f>SUMIF(Tabela!$T:$T,'Execução do PA iNOVA'!$C31,Tabela!AF:AF)</f>
        <v>0</v>
      </c>
      <c r="M31" s="32" t="e">
        <f t="shared" si="39"/>
        <v>#REF!</v>
      </c>
      <c r="N31" s="31" t="e">
        <f t="shared" si="37"/>
        <v>#REF!</v>
      </c>
      <c r="O31" s="18">
        <f>SUMIF(Tabela!$T:$T,'Execução do PA iNOVA'!$C31,Tabela!AG:AG)</f>
        <v>0</v>
      </c>
      <c r="P31" s="32" t="e">
        <f t="shared" si="40"/>
        <v>#REF!</v>
      </c>
      <c r="Q31" s="31" t="e">
        <f t="shared" si="37"/>
        <v>#REF!</v>
      </c>
      <c r="R31" s="18">
        <f>SUMIF(Tabela!$T:$T,'Execução do PA iNOVA'!$C31,Tabela!AH:AH)</f>
        <v>0</v>
      </c>
      <c r="S31" s="32" t="e">
        <f t="shared" si="41"/>
        <v>#REF!</v>
      </c>
      <c r="T31" s="31" t="e">
        <f t="shared" si="37"/>
        <v>#REF!</v>
      </c>
      <c r="U31" s="18">
        <f>SUMIF(Tabela!$T:$T,'Execução do PA iNOVA'!$C31,Tabela!AI:AI)</f>
        <v>0</v>
      </c>
      <c r="V31" s="32" t="e">
        <f t="shared" si="42"/>
        <v>#REF!</v>
      </c>
      <c r="W31" s="31" t="e">
        <f t="shared" si="37"/>
        <v>#REF!</v>
      </c>
      <c r="X31" s="18">
        <f>SUMIF(Tabela!$T:$T,'Execução do PA iNOVA'!$C31,Tabela!AO:AO)</f>
        <v>0</v>
      </c>
      <c r="Y31" s="32" t="e">
        <f t="shared" si="43"/>
        <v>#REF!</v>
      </c>
      <c r="Z31" s="31" t="e">
        <f t="shared" si="37"/>
        <v>#REF!</v>
      </c>
      <c r="AA31" s="18">
        <f>SUMIF(Tabela!$T:$T,'Execução do PA iNOVA'!$C31,Tabela!AQ:AQ)</f>
        <v>0</v>
      </c>
      <c r="AB31" s="32" t="e">
        <f t="shared" si="44"/>
        <v>#REF!</v>
      </c>
      <c r="AC31" s="31" t="e">
        <f t="shared" si="37"/>
        <v>#REF!</v>
      </c>
      <c r="AD31" s="18">
        <f>SUMIF(Tabela!$T:$T,'Execução do PA iNOVA'!$C31,Tabela!AS:AS)</f>
        <v>0</v>
      </c>
      <c r="AE31" s="32" t="e">
        <f t="shared" si="45"/>
        <v>#REF!</v>
      </c>
      <c r="AF31" s="31" t="e">
        <f t="shared" si="37"/>
        <v>#REF!</v>
      </c>
      <c r="AG31" s="18">
        <f>SUMIF(Tabela!$T:$T,'Execução do PA iNOVA'!$C31,Tabela!AU:AU)</f>
        <v>0</v>
      </c>
      <c r="AH31" s="32" t="e">
        <f t="shared" si="46"/>
        <v>#REF!</v>
      </c>
      <c r="AI31" s="31" t="e">
        <f t="shared" si="37"/>
        <v>#REF!</v>
      </c>
      <c r="AJ31" s="18">
        <f>SUMIF(Tabela!$T:$T,'Execução do PA iNOVA'!$C31,Tabela!AW:AW)</f>
        <v>0</v>
      </c>
      <c r="AK31" s="32" t="e">
        <f t="shared" si="47"/>
        <v>#REF!</v>
      </c>
      <c r="AL31" s="31" t="e">
        <f t="shared" si="37"/>
        <v>#REF!</v>
      </c>
      <c r="AM31" s="18">
        <f>SUMIF(Tabela!$T:$T,'Execução do PA iNOVA'!$C31,Tabela!AY:AY)</f>
        <v>0</v>
      </c>
      <c r="AN31" s="32" t="e">
        <f t="shared" si="48"/>
        <v>#REF!</v>
      </c>
      <c r="AO31" s="17" t="e">
        <f t="shared" si="34"/>
        <v>#REF!</v>
      </c>
      <c r="AP31" s="18">
        <f t="shared" si="35"/>
        <v>0</v>
      </c>
      <c r="AQ31" s="32" t="e">
        <f t="shared" si="49"/>
        <v>#REF!</v>
      </c>
    </row>
    <row r="32" spans="2:43" x14ac:dyDescent="0.35">
      <c r="C32" t="s">
        <v>26</v>
      </c>
      <c r="D32" s="16">
        <v>5.5697231059351647E-3</v>
      </c>
      <c r="E32" s="17" t="e">
        <f t="shared" si="36"/>
        <v>#REF!</v>
      </c>
      <c r="F32" s="18">
        <f>SUMIF(Tabela!$T:$T,'Execução do PA iNOVA'!$C32,Tabela!AD:AD)</f>
        <v>0</v>
      </c>
      <c r="G32" s="27" t="e">
        <f t="shared" si="38"/>
        <v>#REF!</v>
      </c>
      <c r="H32" s="31" t="e">
        <f t="shared" si="37"/>
        <v>#REF!</v>
      </c>
      <c r="I32" s="18">
        <f>SUMIF(Tabela!$T:$T,'Execução do PA iNOVA'!$C32,Tabela!AE:AE)</f>
        <v>0</v>
      </c>
      <c r="J32" s="32" t="e">
        <f t="shared" si="33"/>
        <v>#REF!</v>
      </c>
      <c r="K32" s="31" t="e">
        <f t="shared" si="37"/>
        <v>#REF!</v>
      </c>
      <c r="L32" s="18">
        <f>SUMIF(Tabela!$T:$T,'Execução do PA iNOVA'!$C32,Tabela!AF:AF)</f>
        <v>0</v>
      </c>
      <c r="M32" s="32" t="e">
        <f t="shared" si="39"/>
        <v>#REF!</v>
      </c>
      <c r="N32" s="31" t="e">
        <f t="shared" si="37"/>
        <v>#REF!</v>
      </c>
      <c r="O32" s="18">
        <f>SUMIF(Tabela!$T:$T,'Execução do PA iNOVA'!$C32,Tabela!AG:AG)</f>
        <v>0</v>
      </c>
      <c r="P32" s="32" t="e">
        <f t="shared" si="40"/>
        <v>#REF!</v>
      </c>
      <c r="Q32" s="31" t="e">
        <f t="shared" si="37"/>
        <v>#REF!</v>
      </c>
      <c r="R32" s="18">
        <f>SUMIF(Tabela!$T:$T,'Execução do PA iNOVA'!$C32,Tabela!AH:AH)</f>
        <v>0</v>
      </c>
      <c r="S32" s="32" t="e">
        <f t="shared" si="41"/>
        <v>#REF!</v>
      </c>
      <c r="T32" s="31" t="e">
        <f t="shared" si="37"/>
        <v>#REF!</v>
      </c>
      <c r="U32" s="18">
        <f>SUMIF(Tabela!$T:$T,'Execução do PA iNOVA'!$C32,Tabela!AI:AI)</f>
        <v>0</v>
      </c>
      <c r="V32" s="32" t="e">
        <f t="shared" si="42"/>
        <v>#REF!</v>
      </c>
      <c r="W32" s="31" t="e">
        <f t="shared" si="37"/>
        <v>#REF!</v>
      </c>
      <c r="X32" s="18">
        <f>SUMIF(Tabela!$T:$T,'Execução do PA iNOVA'!$C32,Tabela!AO:AO)</f>
        <v>0</v>
      </c>
      <c r="Y32" s="32" t="e">
        <f t="shared" si="43"/>
        <v>#REF!</v>
      </c>
      <c r="Z32" s="31" t="e">
        <f t="shared" si="37"/>
        <v>#REF!</v>
      </c>
      <c r="AA32" s="18">
        <f>SUMIF(Tabela!$T:$T,'Execução do PA iNOVA'!$C32,Tabela!AQ:AQ)</f>
        <v>0</v>
      </c>
      <c r="AB32" s="32" t="e">
        <f t="shared" si="44"/>
        <v>#REF!</v>
      </c>
      <c r="AC32" s="31" t="e">
        <f t="shared" si="37"/>
        <v>#REF!</v>
      </c>
      <c r="AD32" s="18">
        <f>SUMIF(Tabela!$T:$T,'Execução do PA iNOVA'!$C32,Tabela!AS:AS)</f>
        <v>0</v>
      </c>
      <c r="AE32" s="32" t="e">
        <f t="shared" si="45"/>
        <v>#REF!</v>
      </c>
      <c r="AF32" s="31" t="e">
        <f t="shared" si="37"/>
        <v>#REF!</v>
      </c>
      <c r="AG32" s="18">
        <f>SUMIF(Tabela!$T:$T,'Execução do PA iNOVA'!$C32,Tabela!AU:AU)</f>
        <v>0</v>
      </c>
      <c r="AH32" s="32" t="e">
        <f t="shared" si="46"/>
        <v>#REF!</v>
      </c>
      <c r="AI32" s="31" t="e">
        <f t="shared" si="37"/>
        <v>#REF!</v>
      </c>
      <c r="AJ32" s="18">
        <f>SUMIF(Tabela!$T:$T,'Execução do PA iNOVA'!$C32,Tabela!AW:AW)</f>
        <v>0</v>
      </c>
      <c r="AK32" s="32" t="e">
        <f t="shared" si="47"/>
        <v>#REF!</v>
      </c>
      <c r="AL32" s="31" t="e">
        <f t="shared" si="37"/>
        <v>#REF!</v>
      </c>
      <c r="AM32" s="18">
        <f>SUMIF(Tabela!$T:$T,'Execução do PA iNOVA'!$C32,Tabela!AY:AY)</f>
        <v>0</v>
      </c>
      <c r="AN32" s="32" t="e">
        <f t="shared" si="48"/>
        <v>#REF!</v>
      </c>
      <c r="AO32" s="17" t="e">
        <f t="shared" si="34"/>
        <v>#REF!</v>
      </c>
      <c r="AP32" s="18">
        <f t="shared" si="35"/>
        <v>0</v>
      </c>
      <c r="AQ32" s="32" t="e">
        <f t="shared" si="49"/>
        <v>#REF!</v>
      </c>
    </row>
    <row r="33" spans="2:43" x14ac:dyDescent="0.35">
      <c r="C33" t="s">
        <v>27</v>
      </c>
      <c r="D33" s="16">
        <v>1.1110694532220751E-2</v>
      </c>
      <c r="E33" s="17" t="e">
        <f t="shared" si="36"/>
        <v>#REF!</v>
      </c>
      <c r="F33" s="18">
        <f>SUMIF(Tabela!$T:$T,'Execução do PA iNOVA'!$C33,Tabela!AD:AD)</f>
        <v>0</v>
      </c>
      <c r="G33" s="27" t="e">
        <f t="shared" si="38"/>
        <v>#REF!</v>
      </c>
      <c r="H33" s="31" t="e">
        <f t="shared" si="37"/>
        <v>#REF!</v>
      </c>
      <c r="I33" s="18">
        <f>SUMIF(Tabela!$T:$T,'Execução do PA iNOVA'!$C33,Tabela!AE:AE)</f>
        <v>0</v>
      </c>
      <c r="J33" s="32" t="e">
        <f t="shared" si="33"/>
        <v>#REF!</v>
      </c>
      <c r="K33" s="31" t="e">
        <f t="shared" si="37"/>
        <v>#REF!</v>
      </c>
      <c r="L33" s="18">
        <f>SUMIF(Tabela!$T:$T,'Execução do PA iNOVA'!$C33,Tabela!AF:AF)</f>
        <v>0</v>
      </c>
      <c r="M33" s="32" t="e">
        <f t="shared" si="39"/>
        <v>#REF!</v>
      </c>
      <c r="N33" s="31" t="e">
        <f t="shared" si="37"/>
        <v>#REF!</v>
      </c>
      <c r="O33" s="18">
        <f>SUMIF(Tabela!$T:$T,'Execução do PA iNOVA'!$C33,Tabela!AG:AG)</f>
        <v>0</v>
      </c>
      <c r="P33" s="32" t="e">
        <f t="shared" si="40"/>
        <v>#REF!</v>
      </c>
      <c r="Q33" s="31" t="e">
        <f t="shared" si="37"/>
        <v>#REF!</v>
      </c>
      <c r="R33" s="18">
        <f>SUMIF(Tabela!$T:$T,'Execução do PA iNOVA'!$C33,Tabela!AH:AH)</f>
        <v>0</v>
      </c>
      <c r="S33" s="32" t="e">
        <f t="shared" si="41"/>
        <v>#REF!</v>
      </c>
      <c r="T33" s="31" t="e">
        <f t="shared" si="37"/>
        <v>#REF!</v>
      </c>
      <c r="U33" s="18">
        <f>SUMIF(Tabela!$T:$T,'Execução do PA iNOVA'!$C33,Tabela!AI:AI)</f>
        <v>0</v>
      </c>
      <c r="V33" s="32" t="e">
        <f t="shared" si="42"/>
        <v>#REF!</v>
      </c>
      <c r="W33" s="31" t="e">
        <f t="shared" si="37"/>
        <v>#REF!</v>
      </c>
      <c r="X33" s="18">
        <f>SUMIF(Tabela!$T:$T,'Execução do PA iNOVA'!$C33,Tabela!AO:AO)</f>
        <v>0</v>
      </c>
      <c r="Y33" s="32" t="e">
        <f t="shared" si="43"/>
        <v>#REF!</v>
      </c>
      <c r="Z33" s="31" t="e">
        <f t="shared" si="37"/>
        <v>#REF!</v>
      </c>
      <c r="AA33" s="18">
        <f>SUMIF(Tabela!$T:$T,'Execução do PA iNOVA'!$C33,Tabela!AQ:AQ)</f>
        <v>0</v>
      </c>
      <c r="AB33" s="32" t="e">
        <f t="shared" si="44"/>
        <v>#REF!</v>
      </c>
      <c r="AC33" s="31" t="e">
        <f t="shared" si="37"/>
        <v>#REF!</v>
      </c>
      <c r="AD33" s="18">
        <f>SUMIF(Tabela!$T:$T,'Execução do PA iNOVA'!$C33,Tabela!AS:AS)</f>
        <v>0</v>
      </c>
      <c r="AE33" s="32" t="e">
        <f t="shared" si="45"/>
        <v>#REF!</v>
      </c>
      <c r="AF33" s="31" t="e">
        <f t="shared" si="37"/>
        <v>#REF!</v>
      </c>
      <c r="AG33" s="18">
        <f>SUMIF(Tabela!$T:$T,'Execução do PA iNOVA'!$C33,Tabela!AU:AU)</f>
        <v>0</v>
      </c>
      <c r="AH33" s="32" t="e">
        <f t="shared" si="46"/>
        <v>#REF!</v>
      </c>
      <c r="AI33" s="31" t="e">
        <f t="shared" si="37"/>
        <v>#REF!</v>
      </c>
      <c r="AJ33" s="18">
        <f>SUMIF(Tabela!$T:$T,'Execução do PA iNOVA'!$C33,Tabela!AW:AW)</f>
        <v>0</v>
      </c>
      <c r="AK33" s="32" t="e">
        <f t="shared" si="47"/>
        <v>#REF!</v>
      </c>
      <c r="AL33" s="31" t="e">
        <f t="shared" si="37"/>
        <v>#REF!</v>
      </c>
      <c r="AM33" s="18">
        <f>SUMIF(Tabela!$T:$T,'Execução do PA iNOVA'!$C33,Tabela!AY:AY)</f>
        <v>0</v>
      </c>
      <c r="AN33" s="32" t="e">
        <f t="shared" si="48"/>
        <v>#REF!</v>
      </c>
      <c r="AO33" s="17" t="e">
        <f t="shared" si="34"/>
        <v>#REF!</v>
      </c>
      <c r="AP33" s="18">
        <f t="shared" si="35"/>
        <v>0</v>
      </c>
      <c r="AQ33" s="32" t="e">
        <f t="shared" si="49"/>
        <v>#REF!</v>
      </c>
    </row>
    <row r="34" spans="2:43" x14ac:dyDescent="0.35">
      <c r="C34" t="s">
        <v>167</v>
      </c>
      <c r="D34" s="16">
        <v>4.6046840195025709E-3</v>
      </c>
      <c r="E34" s="17" t="e">
        <f t="shared" si="36"/>
        <v>#REF!</v>
      </c>
      <c r="F34" s="18">
        <f>SUMIF(Tabela!$T:$T,'Execução do PA iNOVA'!$C34,Tabela!AD:AD)</f>
        <v>0</v>
      </c>
      <c r="G34" s="27" t="e">
        <f t="shared" si="38"/>
        <v>#REF!</v>
      </c>
      <c r="H34" s="31" t="e">
        <f t="shared" si="37"/>
        <v>#REF!</v>
      </c>
      <c r="I34" s="18">
        <f>SUMIF(Tabela!$T:$T,'Execução do PA iNOVA'!$C34,Tabela!AE:AE)</f>
        <v>0</v>
      </c>
      <c r="J34" s="32" t="e">
        <f t="shared" si="33"/>
        <v>#REF!</v>
      </c>
      <c r="K34" s="31" t="e">
        <f t="shared" si="37"/>
        <v>#REF!</v>
      </c>
      <c r="L34" s="18">
        <f>SUMIF(Tabela!$T:$T,'Execução do PA iNOVA'!$C34,Tabela!AF:AF)</f>
        <v>0</v>
      </c>
      <c r="M34" s="32" t="e">
        <f t="shared" si="39"/>
        <v>#REF!</v>
      </c>
      <c r="N34" s="31" t="e">
        <f t="shared" si="37"/>
        <v>#REF!</v>
      </c>
      <c r="O34" s="18">
        <f>SUMIF(Tabela!$T:$T,'Execução do PA iNOVA'!$C34,Tabela!AG:AG)</f>
        <v>0</v>
      </c>
      <c r="P34" s="32" t="e">
        <f t="shared" si="40"/>
        <v>#REF!</v>
      </c>
      <c r="Q34" s="31" t="e">
        <f t="shared" si="37"/>
        <v>#REF!</v>
      </c>
      <c r="R34" s="18">
        <f>SUMIF(Tabela!$T:$T,'Execução do PA iNOVA'!$C34,Tabela!AH:AH)</f>
        <v>0</v>
      </c>
      <c r="S34" s="32" t="e">
        <f t="shared" si="41"/>
        <v>#REF!</v>
      </c>
      <c r="T34" s="31" t="e">
        <f t="shared" si="37"/>
        <v>#REF!</v>
      </c>
      <c r="U34" s="18">
        <f>SUMIF(Tabela!$T:$T,'Execução do PA iNOVA'!$C34,Tabela!AI:AI)</f>
        <v>0</v>
      </c>
      <c r="V34" s="32" t="e">
        <f t="shared" si="42"/>
        <v>#REF!</v>
      </c>
      <c r="W34" s="31" t="e">
        <f t="shared" si="37"/>
        <v>#REF!</v>
      </c>
      <c r="X34" s="18">
        <f>SUMIF(Tabela!$T:$T,'Execução do PA iNOVA'!$C34,Tabela!AO:AO)</f>
        <v>0</v>
      </c>
      <c r="Y34" s="32" t="e">
        <f t="shared" si="43"/>
        <v>#REF!</v>
      </c>
      <c r="Z34" s="31" t="e">
        <f t="shared" si="37"/>
        <v>#REF!</v>
      </c>
      <c r="AA34" s="18">
        <f>SUMIF(Tabela!$T:$T,'Execução do PA iNOVA'!$C34,Tabela!AQ:AQ)</f>
        <v>0</v>
      </c>
      <c r="AB34" s="32" t="e">
        <f t="shared" si="44"/>
        <v>#REF!</v>
      </c>
      <c r="AC34" s="31" t="e">
        <f t="shared" si="37"/>
        <v>#REF!</v>
      </c>
      <c r="AD34" s="18">
        <f>SUMIF(Tabela!$T:$T,'Execução do PA iNOVA'!$C34,Tabela!AS:AS)</f>
        <v>0</v>
      </c>
      <c r="AE34" s="32" t="e">
        <f t="shared" si="45"/>
        <v>#REF!</v>
      </c>
      <c r="AF34" s="31" t="e">
        <f t="shared" si="37"/>
        <v>#REF!</v>
      </c>
      <c r="AG34" s="18">
        <f>SUMIF(Tabela!$T:$T,'Execução do PA iNOVA'!$C34,Tabela!AU:AU)</f>
        <v>0</v>
      </c>
      <c r="AH34" s="32" t="e">
        <f t="shared" si="46"/>
        <v>#REF!</v>
      </c>
      <c r="AI34" s="31" t="e">
        <f t="shared" si="37"/>
        <v>#REF!</v>
      </c>
      <c r="AJ34" s="18">
        <f>SUMIF(Tabela!$T:$T,'Execução do PA iNOVA'!$C34,Tabela!AW:AW)</f>
        <v>0</v>
      </c>
      <c r="AK34" s="32" t="e">
        <f t="shared" si="47"/>
        <v>#REF!</v>
      </c>
      <c r="AL34" s="31" t="e">
        <f t="shared" si="37"/>
        <v>#REF!</v>
      </c>
      <c r="AM34" s="18">
        <f>SUMIF(Tabela!$T:$T,'Execução do PA iNOVA'!$C34,Tabela!AY:AY)</f>
        <v>0</v>
      </c>
      <c r="AN34" s="32" t="e">
        <f t="shared" si="48"/>
        <v>#REF!</v>
      </c>
      <c r="AO34" s="17" t="e">
        <f t="shared" si="34"/>
        <v>#REF!</v>
      </c>
      <c r="AP34" s="18">
        <f t="shared" si="35"/>
        <v>0</v>
      </c>
      <c r="AQ34" s="32" t="e">
        <f t="shared" si="49"/>
        <v>#REF!</v>
      </c>
    </row>
    <row r="35" spans="2:43" x14ac:dyDescent="0.35">
      <c r="C35" t="s">
        <v>162</v>
      </c>
      <c r="D35" s="16">
        <v>3.649263000827361E-3</v>
      </c>
      <c r="E35" s="17" t="e">
        <f t="shared" si="36"/>
        <v>#REF!</v>
      </c>
      <c r="F35" s="18">
        <f>SUMIF(Tabela!$T:$T,'Execução do PA iNOVA'!$C35,Tabela!AD:AD)</f>
        <v>0</v>
      </c>
      <c r="G35" s="27" t="e">
        <f t="shared" si="38"/>
        <v>#REF!</v>
      </c>
      <c r="H35" s="31" t="e">
        <f t="shared" si="37"/>
        <v>#REF!</v>
      </c>
      <c r="I35" s="18">
        <f>SUMIF(Tabela!$T:$T,'Execução do PA iNOVA'!$C35,Tabela!AE:AE)</f>
        <v>0</v>
      </c>
      <c r="J35" s="32" t="e">
        <f t="shared" si="33"/>
        <v>#REF!</v>
      </c>
      <c r="K35" s="31" t="e">
        <f t="shared" si="37"/>
        <v>#REF!</v>
      </c>
      <c r="L35" s="18">
        <f>SUMIF(Tabela!$T:$T,'Execução do PA iNOVA'!$C35,Tabela!AF:AF)</f>
        <v>0</v>
      </c>
      <c r="M35" s="32" t="e">
        <f t="shared" si="39"/>
        <v>#REF!</v>
      </c>
      <c r="N35" s="31" t="e">
        <f t="shared" si="37"/>
        <v>#REF!</v>
      </c>
      <c r="O35" s="18">
        <f>SUMIF(Tabela!$T:$T,'Execução do PA iNOVA'!$C35,Tabela!AG:AG)</f>
        <v>0</v>
      </c>
      <c r="P35" s="32" t="e">
        <f t="shared" si="40"/>
        <v>#REF!</v>
      </c>
      <c r="Q35" s="31" t="e">
        <f t="shared" si="37"/>
        <v>#REF!</v>
      </c>
      <c r="R35" s="18">
        <f>SUMIF(Tabela!$T:$T,'Execução do PA iNOVA'!$C35,Tabela!AH:AH)</f>
        <v>0</v>
      </c>
      <c r="S35" s="32" t="e">
        <f t="shared" si="41"/>
        <v>#REF!</v>
      </c>
      <c r="T35" s="31" t="e">
        <f t="shared" si="37"/>
        <v>#REF!</v>
      </c>
      <c r="U35" s="18">
        <f>SUMIF(Tabela!$T:$T,'Execução do PA iNOVA'!$C35,Tabela!AI:AI)</f>
        <v>0</v>
      </c>
      <c r="V35" s="32" t="e">
        <f t="shared" si="42"/>
        <v>#REF!</v>
      </c>
      <c r="W35" s="31" t="e">
        <f t="shared" si="37"/>
        <v>#REF!</v>
      </c>
      <c r="X35" s="18">
        <f>SUMIF(Tabela!$T:$T,'Execução do PA iNOVA'!$C35,Tabela!AO:AO)</f>
        <v>0</v>
      </c>
      <c r="Y35" s="32" t="e">
        <f t="shared" si="43"/>
        <v>#REF!</v>
      </c>
      <c r="Z35" s="31" t="e">
        <f t="shared" si="37"/>
        <v>#REF!</v>
      </c>
      <c r="AA35" s="18">
        <f>SUMIF(Tabela!$T:$T,'Execução do PA iNOVA'!$C35,Tabela!AQ:AQ)</f>
        <v>0</v>
      </c>
      <c r="AB35" s="32" t="e">
        <f t="shared" si="44"/>
        <v>#REF!</v>
      </c>
      <c r="AC35" s="31" t="e">
        <f t="shared" si="37"/>
        <v>#REF!</v>
      </c>
      <c r="AD35" s="18">
        <f>SUMIF(Tabela!$T:$T,'Execução do PA iNOVA'!$C35,Tabela!AS:AS)</f>
        <v>0</v>
      </c>
      <c r="AE35" s="32" t="e">
        <f t="shared" si="45"/>
        <v>#REF!</v>
      </c>
      <c r="AF35" s="31" t="e">
        <f t="shared" si="37"/>
        <v>#REF!</v>
      </c>
      <c r="AG35" s="18">
        <f>SUMIF(Tabela!$T:$T,'Execução do PA iNOVA'!$C35,Tabela!AU:AU)</f>
        <v>0</v>
      </c>
      <c r="AH35" s="32" t="e">
        <f t="shared" si="46"/>
        <v>#REF!</v>
      </c>
      <c r="AI35" s="31" t="e">
        <f t="shared" si="37"/>
        <v>#REF!</v>
      </c>
      <c r="AJ35" s="18">
        <f>SUMIF(Tabela!$T:$T,'Execução do PA iNOVA'!$C35,Tabela!AW:AW)</f>
        <v>0</v>
      </c>
      <c r="AK35" s="32" t="e">
        <f t="shared" si="47"/>
        <v>#REF!</v>
      </c>
      <c r="AL35" s="31" t="e">
        <f t="shared" si="37"/>
        <v>#REF!</v>
      </c>
      <c r="AM35" s="18">
        <f>SUMIF(Tabela!$T:$T,'Execução do PA iNOVA'!$C35,Tabela!AY:AY)</f>
        <v>0</v>
      </c>
      <c r="AN35" s="32" t="e">
        <f t="shared" si="48"/>
        <v>#REF!</v>
      </c>
      <c r="AO35" s="17" t="e">
        <f t="shared" si="34"/>
        <v>#REF!</v>
      </c>
      <c r="AP35" s="18">
        <f t="shared" si="35"/>
        <v>0</v>
      </c>
      <c r="AQ35" s="32" t="e">
        <f t="shared" si="49"/>
        <v>#REF!</v>
      </c>
    </row>
    <row r="36" spans="2:43" x14ac:dyDescent="0.35">
      <c r="C36" t="s">
        <v>765</v>
      </c>
      <c r="D36" s="16">
        <v>0.22386848333688861</v>
      </c>
      <c r="E36" s="17" t="e">
        <f t="shared" si="36"/>
        <v>#REF!</v>
      </c>
      <c r="F36" s="18">
        <f>SUMIF(Tabela!$T:$T,'Execução do PA iNOVA'!$C36,Tabela!AD:AD)</f>
        <v>0</v>
      </c>
      <c r="G36" s="27" t="e">
        <f t="shared" si="38"/>
        <v>#REF!</v>
      </c>
      <c r="H36" s="31" t="e">
        <f t="shared" si="37"/>
        <v>#REF!</v>
      </c>
      <c r="I36" s="18">
        <f>SUMIF(Tabela!$T:$T,'Execução do PA iNOVA'!$C36,Tabela!AE:AE)</f>
        <v>0</v>
      </c>
      <c r="J36" s="32" t="e">
        <f t="shared" si="33"/>
        <v>#REF!</v>
      </c>
      <c r="K36" s="31" t="e">
        <f t="shared" si="37"/>
        <v>#REF!</v>
      </c>
      <c r="L36" s="18">
        <f>SUMIF(Tabela!$T:$T,'Execução do PA iNOVA'!$C36,Tabela!AF:AF)</f>
        <v>0</v>
      </c>
      <c r="M36" s="32" t="e">
        <f t="shared" si="39"/>
        <v>#REF!</v>
      </c>
      <c r="N36" s="31" t="e">
        <f t="shared" si="37"/>
        <v>#REF!</v>
      </c>
      <c r="O36" s="18">
        <f>SUMIF(Tabela!$T:$T,'Execução do PA iNOVA'!$C36,Tabela!AG:AG)</f>
        <v>0</v>
      </c>
      <c r="P36" s="32" t="e">
        <f t="shared" si="40"/>
        <v>#REF!</v>
      </c>
      <c r="Q36" s="31" t="e">
        <f t="shared" si="37"/>
        <v>#REF!</v>
      </c>
      <c r="R36" s="18">
        <f>SUMIF(Tabela!$T:$T,'Execução do PA iNOVA'!$C36,Tabela!AH:AH)</f>
        <v>0</v>
      </c>
      <c r="S36" s="32" t="e">
        <f t="shared" si="41"/>
        <v>#REF!</v>
      </c>
      <c r="T36" s="31" t="e">
        <f t="shared" si="37"/>
        <v>#REF!</v>
      </c>
      <c r="U36" s="18">
        <f>SUMIF(Tabela!$T:$T,'Execução do PA iNOVA'!$C36,Tabela!AI:AI)</f>
        <v>0</v>
      </c>
      <c r="V36" s="32" t="e">
        <f t="shared" si="42"/>
        <v>#REF!</v>
      </c>
      <c r="W36" s="31" t="e">
        <f t="shared" si="37"/>
        <v>#REF!</v>
      </c>
      <c r="X36" s="18">
        <f>SUMIF(Tabela!$T:$T,'Execução do PA iNOVA'!$C36,Tabela!AO:AO)</f>
        <v>0</v>
      </c>
      <c r="Y36" s="32" t="e">
        <f t="shared" si="43"/>
        <v>#REF!</v>
      </c>
      <c r="Z36" s="31" t="e">
        <f t="shared" si="37"/>
        <v>#REF!</v>
      </c>
      <c r="AA36" s="18">
        <f>SUMIF(Tabela!$T:$T,'Execução do PA iNOVA'!$C36,Tabela!AQ:AQ)</f>
        <v>0</v>
      </c>
      <c r="AB36" s="32" t="e">
        <f t="shared" si="44"/>
        <v>#REF!</v>
      </c>
      <c r="AC36" s="31" t="e">
        <f t="shared" si="37"/>
        <v>#REF!</v>
      </c>
      <c r="AD36" s="18">
        <f>SUMIF(Tabela!$T:$T,'Execução do PA iNOVA'!$C36,Tabela!AS:AS)</f>
        <v>0</v>
      </c>
      <c r="AE36" s="32" t="e">
        <f t="shared" si="45"/>
        <v>#REF!</v>
      </c>
      <c r="AF36" s="31" t="e">
        <f t="shared" si="37"/>
        <v>#REF!</v>
      </c>
      <c r="AG36" s="18">
        <f>SUMIF(Tabela!$T:$T,'Execução do PA iNOVA'!$C36,Tabela!AU:AU)</f>
        <v>0</v>
      </c>
      <c r="AH36" s="32" t="e">
        <f t="shared" si="46"/>
        <v>#REF!</v>
      </c>
      <c r="AI36" s="31" t="e">
        <f t="shared" si="37"/>
        <v>#REF!</v>
      </c>
      <c r="AJ36" s="18">
        <f>SUMIF(Tabela!$T:$T,'Execução do PA iNOVA'!$C36,Tabela!AW:AW)</f>
        <v>0</v>
      </c>
      <c r="AK36" s="32" t="e">
        <f t="shared" si="47"/>
        <v>#REF!</v>
      </c>
      <c r="AL36" s="31" t="e">
        <f t="shared" si="37"/>
        <v>#REF!</v>
      </c>
      <c r="AM36" s="18">
        <f>SUMIF(Tabela!$T:$T,'Execução do PA iNOVA'!$C36,Tabela!AY:AY)</f>
        <v>0</v>
      </c>
      <c r="AN36" s="32" t="e">
        <f t="shared" si="48"/>
        <v>#REF!</v>
      </c>
      <c r="AO36" s="17" t="e">
        <f t="shared" si="34"/>
        <v>#REF!</v>
      </c>
      <c r="AP36" s="18">
        <f t="shared" si="35"/>
        <v>0</v>
      </c>
      <c r="AQ36" s="32" t="e">
        <f t="shared" si="49"/>
        <v>#REF!</v>
      </c>
    </row>
    <row r="37" spans="2:43" x14ac:dyDescent="0.35">
      <c r="C37" t="s">
        <v>80</v>
      </c>
      <c r="D37" s="16">
        <v>1.1638577398526801E-2</v>
      </c>
      <c r="E37" s="17" t="e">
        <f t="shared" si="36"/>
        <v>#REF!</v>
      </c>
      <c r="F37" s="18">
        <f>SUMIF(Tabela!$T:$T,'Execução do PA iNOVA'!$C37,Tabela!AD:AD)</f>
        <v>0</v>
      </c>
      <c r="G37" s="27" t="e">
        <f t="shared" si="38"/>
        <v>#REF!</v>
      </c>
      <c r="H37" s="31" t="e">
        <f t="shared" si="37"/>
        <v>#REF!</v>
      </c>
      <c r="I37" s="18">
        <f>SUMIF(Tabela!$T:$T,'Execução do PA iNOVA'!$C37,Tabela!AE:AE)</f>
        <v>0</v>
      </c>
      <c r="J37" s="32" t="e">
        <f t="shared" si="33"/>
        <v>#REF!</v>
      </c>
      <c r="K37" s="31" t="e">
        <f t="shared" si="37"/>
        <v>#REF!</v>
      </c>
      <c r="L37" s="18">
        <f>SUMIF(Tabela!$T:$T,'Execução do PA iNOVA'!$C37,Tabela!AF:AF)</f>
        <v>0</v>
      </c>
      <c r="M37" s="32" t="e">
        <f t="shared" si="39"/>
        <v>#REF!</v>
      </c>
      <c r="N37" s="31" t="e">
        <f t="shared" si="37"/>
        <v>#REF!</v>
      </c>
      <c r="O37" s="18">
        <f>SUMIF(Tabela!$T:$T,'Execução do PA iNOVA'!$C37,Tabela!AG:AG)</f>
        <v>0</v>
      </c>
      <c r="P37" s="32" t="e">
        <f t="shared" si="40"/>
        <v>#REF!</v>
      </c>
      <c r="Q37" s="31" t="e">
        <f t="shared" si="37"/>
        <v>#REF!</v>
      </c>
      <c r="R37" s="18">
        <f>SUMIF(Tabela!$T:$T,'Execução do PA iNOVA'!$C37,Tabela!AH:AH)</f>
        <v>0</v>
      </c>
      <c r="S37" s="32" t="e">
        <f t="shared" si="41"/>
        <v>#REF!</v>
      </c>
      <c r="T37" s="31" t="e">
        <f t="shared" si="37"/>
        <v>#REF!</v>
      </c>
      <c r="U37" s="18">
        <f>SUMIF(Tabela!$T:$T,'Execução do PA iNOVA'!$C37,Tabela!AI:AI)</f>
        <v>0</v>
      </c>
      <c r="V37" s="32" t="e">
        <f t="shared" si="42"/>
        <v>#REF!</v>
      </c>
      <c r="W37" s="31" t="e">
        <f t="shared" si="37"/>
        <v>#REF!</v>
      </c>
      <c r="X37" s="18">
        <f>SUMIF(Tabela!$T:$T,'Execução do PA iNOVA'!$C37,Tabela!AO:AO)</f>
        <v>0</v>
      </c>
      <c r="Y37" s="32" t="e">
        <f t="shared" si="43"/>
        <v>#REF!</v>
      </c>
      <c r="Z37" s="31" t="e">
        <f t="shared" si="37"/>
        <v>#REF!</v>
      </c>
      <c r="AA37" s="18">
        <f>SUMIF(Tabela!$T:$T,'Execução do PA iNOVA'!$C37,Tabela!AQ:AQ)</f>
        <v>0</v>
      </c>
      <c r="AB37" s="32" t="e">
        <f t="shared" si="44"/>
        <v>#REF!</v>
      </c>
      <c r="AC37" s="31" t="e">
        <f t="shared" si="37"/>
        <v>#REF!</v>
      </c>
      <c r="AD37" s="18">
        <f>SUMIF(Tabela!$T:$T,'Execução do PA iNOVA'!$C37,Tabela!AS:AS)</f>
        <v>0</v>
      </c>
      <c r="AE37" s="32" t="e">
        <f t="shared" si="45"/>
        <v>#REF!</v>
      </c>
      <c r="AF37" s="31" t="e">
        <f t="shared" si="37"/>
        <v>#REF!</v>
      </c>
      <c r="AG37" s="18">
        <f>SUMIF(Tabela!$T:$T,'Execução do PA iNOVA'!$C37,Tabela!AU:AU)</f>
        <v>0</v>
      </c>
      <c r="AH37" s="32" t="e">
        <f t="shared" si="46"/>
        <v>#REF!</v>
      </c>
      <c r="AI37" s="31" t="e">
        <f t="shared" si="37"/>
        <v>#REF!</v>
      </c>
      <c r="AJ37" s="18">
        <f>SUMIF(Tabela!$T:$T,'Execução do PA iNOVA'!$C37,Tabela!AW:AW)</f>
        <v>0</v>
      </c>
      <c r="AK37" s="32" t="e">
        <f t="shared" si="47"/>
        <v>#REF!</v>
      </c>
      <c r="AL37" s="31" t="e">
        <f t="shared" si="37"/>
        <v>#REF!</v>
      </c>
      <c r="AM37" s="18">
        <f>SUMIF(Tabela!$T:$T,'Execução do PA iNOVA'!$C37,Tabela!AY:AY)</f>
        <v>0</v>
      </c>
      <c r="AN37" s="32" t="e">
        <f t="shared" si="48"/>
        <v>#REF!</v>
      </c>
      <c r="AO37" s="17" t="e">
        <f t="shared" si="34"/>
        <v>#REF!</v>
      </c>
      <c r="AP37" s="18">
        <f t="shared" si="35"/>
        <v>0</v>
      </c>
      <c r="AQ37" s="32" t="e">
        <f t="shared" si="49"/>
        <v>#REF!</v>
      </c>
    </row>
    <row r="38" spans="2:43" x14ac:dyDescent="0.35">
      <c r="C38" t="s">
        <v>164</v>
      </c>
      <c r="D38" s="16">
        <v>4.4840204755311952E-3</v>
      </c>
      <c r="E38" s="17" t="e">
        <f t="shared" si="36"/>
        <v>#REF!</v>
      </c>
      <c r="F38" s="18">
        <f>SUMIF(Tabela!$T:$T,'Execução do PA iNOVA'!$C38,Tabela!AD:AD)</f>
        <v>0</v>
      </c>
      <c r="G38" s="27" t="e">
        <f t="shared" si="38"/>
        <v>#REF!</v>
      </c>
      <c r="H38" s="31" t="e">
        <f t="shared" si="37"/>
        <v>#REF!</v>
      </c>
      <c r="I38" s="18">
        <f>SUMIF(Tabela!$T:$T,'Execução do PA iNOVA'!$C38,Tabela!AE:AE)</f>
        <v>0</v>
      </c>
      <c r="J38" s="32" t="e">
        <f t="shared" si="33"/>
        <v>#REF!</v>
      </c>
      <c r="K38" s="31" t="e">
        <f t="shared" si="37"/>
        <v>#REF!</v>
      </c>
      <c r="L38" s="18">
        <f>SUMIF(Tabela!$T:$T,'Execução do PA iNOVA'!$C38,Tabela!AF:AF)</f>
        <v>0</v>
      </c>
      <c r="M38" s="32" t="e">
        <f t="shared" si="39"/>
        <v>#REF!</v>
      </c>
      <c r="N38" s="31" t="e">
        <f t="shared" si="37"/>
        <v>#REF!</v>
      </c>
      <c r="O38" s="18">
        <f>SUMIF(Tabela!$T:$T,'Execução do PA iNOVA'!$C38,Tabela!AG:AG)</f>
        <v>0</v>
      </c>
      <c r="P38" s="32" t="e">
        <f t="shared" si="40"/>
        <v>#REF!</v>
      </c>
      <c r="Q38" s="31" t="e">
        <f t="shared" si="37"/>
        <v>#REF!</v>
      </c>
      <c r="R38" s="18">
        <f>SUMIF(Tabela!$T:$T,'Execução do PA iNOVA'!$C38,Tabela!AH:AH)</f>
        <v>0</v>
      </c>
      <c r="S38" s="32" t="e">
        <f t="shared" si="41"/>
        <v>#REF!</v>
      </c>
      <c r="T38" s="31" t="e">
        <f t="shared" si="37"/>
        <v>#REF!</v>
      </c>
      <c r="U38" s="18">
        <f>SUMIF(Tabela!$T:$T,'Execução do PA iNOVA'!$C38,Tabela!AI:AI)</f>
        <v>0</v>
      </c>
      <c r="V38" s="32" t="e">
        <f t="shared" si="42"/>
        <v>#REF!</v>
      </c>
      <c r="W38" s="31" t="e">
        <f t="shared" si="37"/>
        <v>#REF!</v>
      </c>
      <c r="X38" s="18">
        <f>SUMIF(Tabela!$T:$T,'Execução do PA iNOVA'!$C38,Tabela!AO:AO)</f>
        <v>0</v>
      </c>
      <c r="Y38" s="32" t="e">
        <f t="shared" si="43"/>
        <v>#REF!</v>
      </c>
      <c r="Z38" s="31" t="e">
        <f t="shared" si="37"/>
        <v>#REF!</v>
      </c>
      <c r="AA38" s="18">
        <f>SUMIF(Tabela!$T:$T,'Execução do PA iNOVA'!$C38,Tabela!AQ:AQ)</f>
        <v>0</v>
      </c>
      <c r="AB38" s="32" t="e">
        <f t="shared" si="44"/>
        <v>#REF!</v>
      </c>
      <c r="AC38" s="31" t="e">
        <f t="shared" si="37"/>
        <v>#REF!</v>
      </c>
      <c r="AD38" s="18">
        <f>SUMIF(Tabela!$T:$T,'Execução do PA iNOVA'!$C38,Tabela!AS:AS)</f>
        <v>0</v>
      </c>
      <c r="AE38" s="32" t="e">
        <f t="shared" si="45"/>
        <v>#REF!</v>
      </c>
      <c r="AF38" s="31" t="e">
        <f t="shared" si="37"/>
        <v>#REF!</v>
      </c>
      <c r="AG38" s="18">
        <f>SUMIF(Tabela!$T:$T,'Execução do PA iNOVA'!$C38,Tabela!AU:AU)</f>
        <v>0</v>
      </c>
      <c r="AH38" s="32" t="e">
        <f t="shared" si="46"/>
        <v>#REF!</v>
      </c>
      <c r="AI38" s="31" t="e">
        <f t="shared" si="37"/>
        <v>#REF!</v>
      </c>
      <c r="AJ38" s="18">
        <f>SUMIF(Tabela!$T:$T,'Execução do PA iNOVA'!$C38,Tabela!AW:AW)</f>
        <v>0</v>
      </c>
      <c r="AK38" s="32" t="e">
        <f t="shared" si="47"/>
        <v>#REF!</v>
      </c>
      <c r="AL38" s="31" t="e">
        <f t="shared" si="37"/>
        <v>#REF!</v>
      </c>
      <c r="AM38" s="18">
        <f>SUMIF(Tabela!$T:$T,'Execução do PA iNOVA'!$C38,Tabela!AY:AY)</f>
        <v>0</v>
      </c>
      <c r="AN38" s="32" t="e">
        <f t="shared" si="48"/>
        <v>#REF!</v>
      </c>
      <c r="AO38" s="17" t="e">
        <f t="shared" si="34"/>
        <v>#REF!</v>
      </c>
      <c r="AP38" s="18">
        <f t="shared" si="35"/>
        <v>0</v>
      </c>
      <c r="AQ38" s="32" t="e">
        <f t="shared" si="49"/>
        <v>#REF!</v>
      </c>
    </row>
    <row r="39" spans="2:43" x14ac:dyDescent="0.35">
      <c r="D39" s="19"/>
      <c r="E39" s="20"/>
      <c r="H39" s="33"/>
      <c r="J39" s="34"/>
      <c r="K39" s="33"/>
      <c r="M39" s="34"/>
      <c r="N39" s="33"/>
      <c r="P39" s="34"/>
      <c r="Q39" s="33"/>
      <c r="S39" s="34"/>
      <c r="T39" s="33"/>
      <c r="V39" s="34"/>
      <c r="W39" s="33"/>
      <c r="Y39" s="34"/>
      <c r="Z39" s="33"/>
      <c r="AB39" s="34"/>
      <c r="AC39" s="33"/>
      <c r="AE39" s="34"/>
      <c r="AF39" s="33"/>
      <c r="AH39" s="34"/>
      <c r="AI39" s="33"/>
      <c r="AK39" s="34"/>
      <c r="AL39" s="33"/>
      <c r="AN39" s="34"/>
      <c r="AO39" s="20"/>
      <c r="AQ39" s="34"/>
    </row>
    <row r="40" spans="2:43" s="13" customFormat="1" x14ac:dyDescent="0.35">
      <c r="B40" s="21" t="s">
        <v>81</v>
      </c>
      <c r="C40" s="21"/>
      <c r="D40" s="22">
        <v>0.2240927392060931</v>
      </c>
      <c r="E40" s="23" t="e">
        <f>#REF!*$D40</f>
        <v>#REF!</v>
      </c>
      <c r="F40" s="24">
        <f>SUM(F41:F48)</f>
        <v>0</v>
      </c>
      <c r="G40" s="26" t="e">
        <f>E40-F40</f>
        <v>#REF!</v>
      </c>
      <c r="H40" s="29" t="e">
        <f>#REF!*$D40</f>
        <v>#REF!</v>
      </c>
      <c r="I40" s="24">
        <f>SUM(I41:I48)</f>
        <v>0</v>
      </c>
      <c r="J40" s="30" t="e">
        <f t="shared" ref="J40:J48" si="50">H40-I40+G40</f>
        <v>#REF!</v>
      </c>
      <c r="K40" s="29" t="e">
        <f>#REF!*$D40</f>
        <v>#REF!</v>
      </c>
      <c r="L40" s="24">
        <f>SUM(L41:L48)</f>
        <v>0</v>
      </c>
      <c r="M40" s="30" t="e">
        <f>K40-L40+J40</f>
        <v>#REF!</v>
      </c>
      <c r="N40" s="29" t="e">
        <f>#REF!*$D40</f>
        <v>#REF!</v>
      </c>
      <c r="O40" s="24">
        <f>SUM(O41:O48)</f>
        <v>0</v>
      </c>
      <c r="P40" s="30" t="e">
        <f>N40-O40+M40</f>
        <v>#REF!</v>
      </c>
      <c r="Q40" s="29" t="e">
        <f>#REF!*$D40</f>
        <v>#REF!</v>
      </c>
      <c r="R40" s="24">
        <f>SUM(R41:R48)</f>
        <v>0</v>
      </c>
      <c r="S40" s="30" t="e">
        <f>Q40-R40+P40</f>
        <v>#REF!</v>
      </c>
      <c r="T40" s="29" t="e">
        <f>#REF!*$D40</f>
        <v>#REF!</v>
      </c>
      <c r="U40" s="24">
        <f>SUM(U41:U48)</f>
        <v>0</v>
      </c>
      <c r="V40" s="30" t="e">
        <f>T40-U40+S40</f>
        <v>#REF!</v>
      </c>
      <c r="W40" s="29" t="e">
        <f>#REF!*$D40</f>
        <v>#REF!</v>
      </c>
      <c r="X40" s="24">
        <f>SUM(X41:X48)</f>
        <v>0</v>
      </c>
      <c r="Y40" s="30" t="e">
        <f>W40-X40+V40</f>
        <v>#REF!</v>
      </c>
      <c r="Z40" s="29" t="e">
        <f>#REF!*$D40</f>
        <v>#REF!</v>
      </c>
      <c r="AA40" s="24">
        <f>SUM(AA41:AA48)</f>
        <v>0</v>
      </c>
      <c r="AB40" s="30" t="e">
        <f>Z40-AA40+Y40</f>
        <v>#REF!</v>
      </c>
      <c r="AC40" s="29" t="e">
        <f>#REF!*$D40</f>
        <v>#REF!</v>
      </c>
      <c r="AD40" s="24">
        <f>SUM(AD41:AD48)</f>
        <v>0</v>
      </c>
      <c r="AE40" s="30" t="e">
        <f>AC40-AD40+AB40</f>
        <v>#REF!</v>
      </c>
      <c r="AF40" s="29" t="e">
        <f>#REF!*$D40</f>
        <v>#REF!</v>
      </c>
      <c r="AG40" s="24">
        <f>SUM(AG41:AG48)</f>
        <v>0</v>
      </c>
      <c r="AH40" s="30" t="e">
        <f>AF40-AG40+AE40</f>
        <v>#REF!</v>
      </c>
      <c r="AI40" s="29" t="e">
        <f>#REF!*$D40</f>
        <v>#REF!</v>
      </c>
      <c r="AJ40" s="24">
        <f>SUM(AJ41:AJ48)</f>
        <v>0</v>
      </c>
      <c r="AK40" s="30" t="e">
        <f>AI40-AJ40+AH40</f>
        <v>#REF!</v>
      </c>
      <c r="AL40" s="29" t="e">
        <f>#REF!*$D40</f>
        <v>#REF!</v>
      </c>
      <c r="AM40" s="24">
        <f>SUM(AM41:AM48)</f>
        <v>0</v>
      </c>
      <c r="AN40" s="30" t="e">
        <f>AL40-AM40+AK40</f>
        <v>#REF!</v>
      </c>
      <c r="AO40" s="23" t="e">
        <f t="shared" ref="AO40:AO48" si="51">SUM(AL40,AI40,AF40,AC40,Z40,W40,T40,Q40,N40,K40,H40,E40)</f>
        <v>#REF!</v>
      </c>
      <c r="AP40" s="24">
        <f t="shared" ref="AP40:AP48" si="52">SUM(AM40,AJ40,AG40,AD40,AA40,X40,U40,R40,O40,L40,I40,F40)</f>
        <v>0</v>
      </c>
      <c r="AQ40" s="30" t="e">
        <f>AO40-AP40</f>
        <v>#REF!</v>
      </c>
    </row>
    <row r="41" spans="2:43" x14ac:dyDescent="0.35">
      <c r="C41" t="s">
        <v>168</v>
      </c>
      <c r="D41" s="16">
        <v>7.5657179444979092E-3</v>
      </c>
      <c r="E41" s="17" t="e">
        <f t="shared" ref="E41:E48" si="53">E$40*$D41</f>
        <v>#REF!</v>
      </c>
      <c r="F41" s="18">
        <f>SUMIFS('Processado 2'!$H:$H,'Processado 2'!$G:$G,'Execução do PA iNOVA'!$C41,'Processado 2'!$A:$A,2020,'Processado 2'!$B:$B,'Execução do PA iNOVA'!E$5)</f>
        <v>0</v>
      </c>
      <c r="G41" s="27" t="e">
        <f>E41-F41</f>
        <v>#REF!</v>
      </c>
      <c r="H41" s="31" t="e">
        <f t="shared" ref="H41:AL48" si="54">H$40*$D41</f>
        <v>#REF!</v>
      </c>
      <c r="I41" s="18">
        <f>SUMIFS('Processado 2'!$H:$H,'Processado 2'!$G:$G,'Execução do PA iNOVA'!$C41,'Processado 2'!$A:$A,2021,'Processado 2'!$B:$B,'Execução do PA iNOVA'!H$5)</f>
        <v>0</v>
      </c>
      <c r="J41" s="32" t="e">
        <f t="shared" si="50"/>
        <v>#REF!</v>
      </c>
      <c r="K41" s="31" t="e">
        <f t="shared" si="54"/>
        <v>#REF!</v>
      </c>
      <c r="L41" s="18">
        <f>SUMIFS('Processado 2'!$H:$H,'Processado 2'!$G:$G,'Execução do PA iNOVA'!$C41,'Processado 2'!$A:$A,2021,'Processado 2'!$B:$B,'Execução do PA iNOVA'!K$5)</f>
        <v>0</v>
      </c>
      <c r="M41" s="32" t="e">
        <f>K41-L41+J41</f>
        <v>#REF!</v>
      </c>
      <c r="N41" s="31" t="e">
        <f t="shared" si="54"/>
        <v>#REF!</v>
      </c>
      <c r="O41" s="18">
        <f>SUMIFS('Processado 2'!$H:$H,'Processado 2'!$G:$G,'Execução do PA iNOVA'!$C41,'Processado 2'!$A:$A,2021,'Processado 2'!$B:$B,'Execução do PA iNOVA'!N$5)</f>
        <v>0</v>
      </c>
      <c r="P41" s="32" t="e">
        <f>N41-O41+M41</f>
        <v>#REF!</v>
      </c>
      <c r="Q41" s="31" t="e">
        <f t="shared" si="54"/>
        <v>#REF!</v>
      </c>
      <c r="R41" s="18">
        <f>SUMIFS('Processado 2'!$H:$H,'Processado 2'!$G:$G,'Execução do PA iNOVA'!$C41,'Processado 2'!$A:$A,2021,'Processado 2'!$B:$B,'Execução do PA iNOVA'!Q$5)</f>
        <v>0</v>
      </c>
      <c r="S41" s="32" t="e">
        <f>Q41-R41+P41</f>
        <v>#REF!</v>
      </c>
      <c r="T41" s="31" t="e">
        <f t="shared" si="54"/>
        <v>#REF!</v>
      </c>
      <c r="U41" s="18">
        <f>SUMIFS('Processado 2'!$H:$H,'Processado 2'!$G:$G,'Execução do PA iNOVA'!$C41,'Processado 2'!$A:$A,2021,'Processado 2'!$B:$B,'Execução do PA iNOVA'!T$5)</f>
        <v>0</v>
      </c>
      <c r="V41" s="32" t="e">
        <f>T41-U41+S41</f>
        <v>#REF!</v>
      </c>
      <c r="W41" s="31" t="e">
        <f t="shared" si="54"/>
        <v>#REF!</v>
      </c>
      <c r="X41" s="18">
        <f>SUMIFS('Processado 2'!$H:$H,'Processado 2'!$G:$G,'Execução do PA iNOVA'!$C41,'Processado 2'!$A:$A,2021,'Processado 2'!$B:$B,'Execução do PA iNOVA'!W$5)</f>
        <v>0</v>
      </c>
      <c r="Y41" s="32" t="e">
        <f>W41-X41+V41</f>
        <v>#REF!</v>
      </c>
      <c r="Z41" s="31" t="e">
        <f t="shared" si="54"/>
        <v>#REF!</v>
      </c>
      <c r="AA41" s="18">
        <f>SUMIFS('Processado 2'!$H:$H,'Processado 2'!$G:$G,'Execução do PA iNOVA'!$C41,'Processado 2'!$A:$A,2021,'Processado 2'!$B:$B,'Execução do PA iNOVA'!Z$5)</f>
        <v>0</v>
      </c>
      <c r="AB41" s="32" t="e">
        <f>Z41-AA41+Y41</f>
        <v>#REF!</v>
      </c>
      <c r="AC41" s="31" t="e">
        <f t="shared" si="54"/>
        <v>#REF!</v>
      </c>
      <c r="AD41" s="18">
        <f>SUMIFS('Processado 2'!$H:$H,'Processado 2'!$G:$G,'Execução do PA iNOVA'!$C41,'Processado 2'!$A:$A,2021,'Processado 2'!$B:$B,'Execução do PA iNOVA'!AC$5)</f>
        <v>0</v>
      </c>
      <c r="AE41" s="32" t="e">
        <f>AC41-AD41+AB41</f>
        <v>#REF!</v>
      </c>
      <c r="AF41" s="31" t="e">
        <f t="shared" si="54"/>
        <v>#REF!</v>
      </c>
      <c r="AG41" s="18">
        <f>SUMIFS('Processado 2'!$H:$H,'Processado 2'!$G:$G,'Execução do PA iNOVA'!$C41,'Processado 2'!$A:$A,2021,'Processado 2'!$B:$B,'Execução do PA iNOVA'!AF$5)</f>
        <v>0</v>
      </c>
      <c r="AH41" s="32" t="e">
        <f>AF41-AG41+AE41</f>
        <v>#REF!</v>
      </c>
      <c r="AI41" s="31" t="e">
        <f t="shared" si="54"/>
        <v>#REF!</v>
      </c>
      <c r="AJ41" s="18">
        <f>SUMIFS('Processado 2'!$H:$H,'Processado 2'!$G:$G,'Execução do PA iNOVA'!$C41,'Processado 2'!$A:$A,2021,'Processado 2'!$B:$B,'Execução do PA iNOVA'!AI$5)</f>
        <v>0</v>
      </c>
      <c r="AK41" s="32" t="e">
        <f>AI41-AJ41+AH41</f>
        <v>#REF!</v>
      </c>
      <c r="AL41" s="31" t="e">
        <f t="shared" si="54"/>
        <v>#REF!</v>
      </c>
      <c r="AM41" s="18">
        <f>SUMIFS('Processado 2'!$H:$H,'Processado 2'!$G:$G,'Execução do PA iNOVA'!$C41,'Processado 2'!$A:$A,2021,'Processado 2'!$B:$B,'Execução do PA iNOVA'!AL$5)</f>
        <v>0</v>
      </c>
      <c r="AN41" s="32" t="e">
        <f>AL41-AM41+AK41</f>
        <v>#REF!</v>
      </c>
      <c r="AO41" s="17" t="e">
        <f t="shared" si="51"/>
        <v>#REF!</v>
      </c>
      <c r="AP41" s="18">
        <f t="shared" si="52"/>
        <v>0</v>
      </c>
      <c r="AQ41" s="32" t="e">
        <f>AO41-AP41</f>
        <v>#REF!</v>
      </c>
    </row>
    <row r="42" spans="2:43" x14ac:dyDescent="0.35">
      <c r="C42" t="s">
        <v>28</v>
      </c>
      <c r="D42" s="16">
        <v>7.7631465655850149E-3</v>
      </c>
      <c r="E42" s="17" t="e">
        <f t="shared" si="53"/>
        <v>#REF!</v>
      </c>
      <c r="F42" s="18">
        <f>SUMIFS('Processado 2'!$H:$H,'Processado 2'!$G:$G,'Execução do PA iNOVA'!$C42,'Processado 2'!$A:$A,2020,'Processado 2'!$B:$B,'Execução do PA iNOVA'!E$5)</f>
        <v>0</v>
      </c>
      <c r="G42" s="27" t="e">
        <f t="shared" ref="G42:G48" si="55">E42-F42</f>
        <v>#REF!</v>
      </c>
      <c r="H42" s="31" t="e">
        <f t="shared" si="54"/>
        <v>#REF!</v>
      </c>
      <c r="I42" s="18">
        <f>SUMIFS('Processado 2'!$H:$H,'Processado 2'!$G:$G,'Execução do PA iNOVA'!$C42,'Processado 2'!$A:$A,2021,'Processado 2'!$B:$B,'Execução do PA iNOVA'!H$5)</f>
        <v>0</v>
      </c>
      <c r="J42" s="32" t="e">
        <f t="shared" si="50"/>
        <v>#REF!</v>
      </c>
      <c r="K42" s="31" t="e">
        <f t="shared" si="54"/>
        <v>#REF!</v>
      </c>
      <c r="L42" s="18">
        <f>SUMIFS('Processado 2'!$H:$H,'Processado 2'!$G:$G,'Execução do PA iNOVA'!$C42,'Processado 2'!$A:$A,2021,'Processado 2'!$B:$B,'Execução do PA iNOVA'!K$5)</f>
        <v>0</v>
      </c>
      <c r="M42" s="32" t="e">
        <f t="shared" ref="M42:M48" si="56">K42-L42+J42</f>
        <v>#REF!</v>
      </c>
      <c r="N42" s="31" t="e">
        <f t="shared" si="54"/>
        <v>#REF!</v>
      </c>
      <c r="O42" s="18">
        <f>SUMIFS('Processado 2'!$H:$H,'Processado 2'!$G:$G,'Execução do PA iNOVA'!$C42,'Processado 2'!$A:$A,2021,'Processado 2'!$B:$B,'Execução do PA iNOVA'!N$5)</f>
        <v>0</v>
      </c>
      <c r="P42" s="32" t="e">
        <f t="shared" ref="P42:P48" si="57">N42-O42+M42</f>
        <v>#REF!</v>
      </c>
      <c r="Q42" s="31" t="e">
        <f t="shared" si="54"/>
        <v>#REF!</v>
      </c>
      <c r="R42" s="18">
        <f>SUMIFS('Processado 2'!$H:$H,'Processado 2'!$G:$G,'Execução do PA iNOVA'!$C42,'Processado 2'!$A:$A,2021,'Processado 2'!$B:$B,'Execução do PA iNOVA'!Q$5)</f>
        <v>0</v>
      </c>
      <c r="S42" s="32" t="e">
        <f t="shared" ref="S42:S48" si="58">Q42-R42+P42</f>
        <v>#REF!</v>
      </c>
      <c r="T42" s="31" t="e">
        <f t="shared" si="54"/>
        <v>#REF!</v>
      </c>
      <c r="U42" s="18">
        <f>SUMIFS('Processado 2'!$H:$H,'Processado 2'!$G:$G,'Execução do PA iNOVA'!$C42,'Processado 2'!$A:$A,2021,'Processado 2'!$B:$B,'Execução do PA iNOVA'!T$5)</f>
        <v>0</v>
      </c>
      <c r="V42" s="32" t="e">
        <f t="shared" ref="V42:V48" si="59">T42-U42+S42</f>
        <v>#REF!</v>
      </c>
      <c r="W42" s="31" t="e">
        <f t="shared" si="54"/>
        <v>#REF!</v>
      </c>
      <c r="X42" s="18">
        <f>SUMIFS('Processado 2'!$H:$H,'Processado 2'!$G:$G,'Execução do PA iNOVA'!$C42,'Processado 2'!$A:$A,2021,'Processado 2'!$B:$B,'Execução do PA iNOVA'!W$5)</f>
        <v>0</v>
      </c>
      <c r="Y42" s="32" t="e">
        <f t="shared" ref="Y42:Y48" si="60">W42-X42+V42</f>
        <v>#REF!</v>
      </c>
      <c r="Z42" s="31" t="e">
        <f t="shared" si="54"/>
        <v>#REF!</v>
      </c>
      <c r="AA42" s="18">
        <f>SUMIFS('Processado 2'!$H:$H,'Processado 2'!$G:$G,'Execução do PA iNOVA'!$C42,'Processado 2'!$A:$A,2021,'Processado 2'!$B:$B,'Execução do PA iNOVA'!Z$5)</f>
        <v>0</v>
      </c>
      <c r="AB42" s="32" t="e">
        <f t="shared" ref="AB42:AB48" si="61">Z42-AA42+Y42</f>
        <v>#REF!</v>
      </c>
      <c r="AC42" s="31" t="e">
        <f t="shared" si="54"/>
        <v>#REF!</v>
      </c>
      <c r="AD42" s="18">
        <f>SUMIFS('Processado 2'!$H:$H,'Processado 2'!$G:$G,'Execução do PA iNOVA'!$C42,'Processado 2'!$A:$A,2021,'Processado 2'!$B:$B,'Execução do PA iNOVA'!AC$5)</f>
        <v>0</v>
      </c>
      <c r="AE42" s="32" t="e">
        <f t="shared" ref="AE42:AE48" si="62">AC42-AD42+AB42</f>
        <v>#REF!</v>
      </c>
      <c r="AF42" s="31" t="e">
        <f t="shared" si="54"/>
        <v>#REF!</v>
      </c>
      <c r="AG42" s="18">
        <f>SUMIFS('Processado 2'!$H:$H,'Processado 2'!$G:$G,'Execução do PA iNOVA'!$C42,'Processado 2'!$A:$A,2021,'Processado 2'!$B:$B,'Execução do PA iNOVA'!AF$5)</f>
        <v>0</v>
      </c>
      <c r="AH42" s="32" t="e">
        <f t="shared" ref="AH42:AH48" si="63">AF42-AG42+AE42</f>
        <v>#REF!</v>
      </c>
      <c r="AI42" s="31" t="e">
        <f t="shared" si="54"/>
        <v>#REF!</v>
      </c>
      <c r="AJ42" s="18">
        <f>SUMIFS('Processado 2'!$H:$H,'Processado 2'!$G:$G,'Execução do PA iNOVA'!$C42,'Processado 2'!$A:$A,2021,'Processado 2'!$B:$B,'Execução do PA iNOVA'!AI$5)</f>
        <v>0</v>
      </c>
      <c r="AK42" s="32" t="e">
        <f t="shared" ref="AK42:AK48" si="64">AI42-AJ42+AH42</f>
        <v>#REF!</v>
      </c>
      <c r="AL42" s="31" t="e">
        <f t="shared" si="54"/>
        <v>#REF!</v>
      </c>
      <c r="AM42" s="18">
        <f>SUMIFS('Processado 2'!$H:$H,'Processado 2'!$G:$G,'Execução do PA iNOVA'!$C42,'Processado 2'!$A:$A,2021,'Processado 2'!$B:$B,'Execução do PA iNOVA'!AL$5)</f>
        <v>0</v>
      </c>
      <c r="AN42" s="32" t="e">
        <f t="shared" ref="AN42:AN48" si="65">AL42-AM42+AK42</f>
        <v>#REF!</v>
      </c>
      <c r="AO42" s="17" t="e">
        <f t="shared" si="51"/>
        <v>#REF!</v>
      </c>
      <c r="AP42" s="18">
        <f t="shared" si="52"/>
        <v>0</v>
      </c>
      <c r="AQ42" s="32" t="e">
        <f t="shared" ref="AQ42:AQ48" si="66">AO42-AP42</f>
        <v>#REF!</v>
      </c>
    </row>
    <row r="43" spans="2:43" x14ac:dyDescent="0.35">
      <c r="C43" t="s">
        <v>82</v>
      </c>
      <c r="D43" s="16">
        <v>6.573785037589765E-3</v>
      </c>
      <c r="E43" s="17" t="e">
        <f t="shared" si="53"/>
        <v>#REF!</v>
      </c>
      <c r="F43" s="18">
        <f>SUMIFS('Processado 2'!$H:$H,'Processado 2'!$G:$G,'Execução do PA iNOVA'!$C43,'Processado 2'!$A:$A,2020,'Processado 2'!$B:$B,'Execução do PA iNOVA'!E$5)</f>
        <v>0</v>
      </c>
      <c r="G43" s="27" t="e">
        <f t="shared" si="55"/>
        <v>#REF!</v>
      </c>
      <c r="H43" s="31" t="e">
        <f t="shared" si="54"/>
        <v>#REF!</v>
      </c>
      <c r="I43" s="18">
        <f>SUMIFS('Processado 2'!$H:$H,'Processado 2'!$G:$G,'Execução do PA iNOVA'!$C43,'Processado 2'!$A:$A,2021,'Processado 2'!$B:$B,'Execução do PA iNOVA'!H$5)</f>
        <v>0</v>
      </c>
      <c r="J43" s="32" t="e">
        <f t="shared" si="50"/>
        <v>#REF!</v>
      </c>
      <c r="K43" s="31" t="e">
        <f t="shared" si="54"/>
        <v>#REF!</v>
      </c>
      <c r="L43" s="18">
        <f>SUMIFS('Processado 2'!$H:$H,'Processado 2'!$G:$G,'Execução do PA iNOVA'!$C43,'Processado 2'!$A:$A,2021,'Processado 2'!$B:$B,'Execução do PA iNOVA'!K$5)</f>
        <v>0</v>
      </c>
      <c r="M43" s="32" t="e">
        <f t="shared" si="56"/>
        <v>#REF!</v>
      </c>
      <c r="N43" s="31" t="e">
        <f t="shared" si="54"/>
        <v>#REF!</v>
      </c>
      <c r="O43" s="18">
        <f>SUMIFS('Processado 2'!$H:$H,'Processado 2'!$G:$G,'Execução do PA iNOVA'!$C43,'Processado 2'!$A:$A,2021,'Processado 2'!$B:$B,'Execução do PA iNOVA'!N$5)</f>
        <v>0</v>
      </c>
      <c r="P43" s="32" t="e">
        <f t="shared" si="57"/>
        <v>#REF!</v>
      </c>
      <c r="Q43" s="31" t="e">
        <f t="shared" si="54"/>
        <v>#REF!</v>
      </c>
      <c r="R43" s="18">
        <f>SUMIFS('Processado 2'!$H:$H,'Processado 2'!$G:$G,'Execução do PA iNOVA'!$C43,'Processado 2'!$A:$A,2021,'Processado 2'!$B:$B,'Execução do PA iNOVA'!Q$5)</f>
        <v>0</v>
      </c>
      <c r="S43" s="32" t="e">
        <f t="shared" si="58"/>
        <v>#REF!</v>
      </c>
      <c r="T43" s="31" t="e">
        <f t="shared" si="54"/>
        <v>#REF!</v>
      </c>
      <c r="U43" s="18">
        <f>SUMIFS('Processado 2'!$H:$H,'Processado 2'!$G:$G,'Execução do PA iNOVA'!$C43,'Processado 2'!$A:$A,2021,'Processado 2'!$B:$B,'Execução do PA iNOVA'!T$5)</f>
        <v>0</v>
      </c>
      <c r="V43" s="32" t="e">
        <f t="shared" si="59"/>
        <v>#REF!</v>
      </c>
      <c r="W43" s="31" t="e">
        <f t="shared" si="54"/>
        <v>#REF!</v>
      </c>
      <c r="X43" s="18">
        <f>SUMIFS('Processado 2'!$H:$H,'Processado 2'!$G:$G,'Execução do PA iNOVA'!$C43,'Processado 2'!$A:$A,2021,'Processado 2'!$B:$B,'Execução do PA iNOVA'!W$5)</f>
        <v>0</v>
      </c>
      <c r="Y43" s="32" t="e">
        <f t="shared" si="60"/>
        <v>#REF!</v>
      </c>
      <c r="Z43" s="31" t="e">
        <f t="shared" si="54"/>
        <v>#REF!</v>
      </c>
      <c r="AA43" s="18">
        <f>SUMIFS('Processado 2'!$H:$H,'Processado 2'!$G:$G,'Execução do PA iNOVA'!$C43,'Processado 2'!$A:$A,2021,'Processado 2'!$B:$B,'Execução do PA iNOVA'!Z$5)</f>
        <v>0</v>
      </c>
      <c r="AB43" s="32" t="e">
        <f t="shared" si="61"/>
        <v>#REF!</v>
      </c>
      <c r="AC43" s="31" t="e">
        <f t="shared" si="54"/>
        <v>#REF!</v>
      </c>
      <c r="AD43" s="18">
        <f>SUMIFS('Processado 2'!$H:$H,'Processado 2'!$G:$G,'Execução do PA iNOVA'!$C43,'Processado 2'!$A:$A,2021,'Processado 2'!$B:$B,'Execução do PA iNOVA'!AC$5)</f>
        <v>0</v>
      </c>
      <c r="AE43" s="32" t="e">
        <f t="shared" si="62"/>
        <v>#REF!</v>
      </c>
      <c r="AF43" s="31" t="e">
        <f t="shared" si="54"/>
        <v>#REF!</v>
      </c>
      <c r="AG43" s="18">
        <f>SUMIFS('Processado 2'!$H:$H,'Processado 2'!$G:$G,'Execução do PA iNOVA'!$C43,'Processado 2'!$A:$A,2021,'Processado 2'!$B:$B,'Execução do PA iNOVA'!AF$5)</f>
        <v>0</v>
      </c>
      <c r="AH43" s="32" t="e">
        <f t="shared" si="63"/>
        <v>#REF!</v>
      </c>
      <c r="AI43" s="31" t="e">
        <f t="shared" si="54"/>
        <v>#REF!</v>
      </c>
      <c r="AJ43" s="18">
        <f>SUMIFS('Processado 2'!$H:$H,'Processado 2'!$G:$G,'Execução do PA iNOVA'!$C43,'Processado 2'!$A:$A,2021,'Processado 2'!$B:$B,'Execução do PA iNOVA'!AI$5)</f>
        <v>0</v>
      </c>
      <c r="AK43" s="32" t="e">
        <f t="shared" si="64"/>
        <v>#REF!</v>
      </c>
      <c r="AL43" s="31" t="e">
        <f t="shared" si="54"/>
        <v>#REF!</v>
      </c>
      <c r="AM43" s="18">
        <f>SUMIFS('Processado 2'!$H:$H,'Processado 2'!$G:$G,'Execução do PA iNOVA'!$C43,'Processado 2'!$A:$A,2021,'Processado 2'!$B:$B,'Execução do PA iNOVA'!AL$5)</f>
        <v>0</v>
      </c>
      <c r="AN43" s="32" t="e">
        <f t="shared" si="65"/>
        <v>#REF!</v>
      </c>
      <c r="AO43" s="17" t="e">
        <f t="shared" si="51"/>
        <v>#REF!</v>
      </c>
      <c r="AP43" s="18">
        <f t="shared" si="52"/>
        <v>0</v>
      </c>
      <c r="AQ43" s="32" t="e">
        <f t="shared" si="66"/>
        <v>#REF!</v>
      </c>
    </row>
    <row r="44" spans="2:43" x14ac:dyDescent="0.35">
      <c r="C44" t="s">
        <v>171</v>
      </c>
      <c r="D44" s="16">
        <v>2.2120928196512055E-2</v>
      </c>
      <c r="E44" s="17" t="e">
        <f t="shared" si="53"/>
        <v>#REF!</v>
      </c>
      <c r="F44" s="18">
        <f>SUMIFS('Processado 2'!$H:$H,'Processado 2'!$G:$G,'Execução do PA iNOVA'!$C44,'Processado 2'!$A:$A,2020,'Processado 2'!$B:$B,'Execução do PA iNOVA'!E$5)</f>
        <v>0</v>
      </c>
      <c r="G44" s="27" t="e">
        <f t="shared" si="55"/>
        <v>#REF!</v>
      </c>
      <c r="H44" s="31" t="e">
        <f t="shared" si="54"/>
        <v>#REF!</v>
      </c>
      <c r="I44" s="18">
        <f>SUMIFS('Processado 2'!$H:$H,'Processado 2'!$G:$G,'Execução do PA iNOVA'!$C44,'Processado 2'!$A:$A,2021,'Processado 2'!$B:$B,'Execução do PA iNOVA'!H$5)</f>
        <v>0</v>
      </c>
      <c r="J44" s="32" t="e">
        <f t="shared" si="50"/>
        <v>#REF!</v>
      </c>
      <c r="K44" s="31" t="e">
        <f t="shared" si="54"/>
        <v>#REF!</v>
      </c>
      <c r="L44" s="18">
        <f>SUMIFS('Processado 2'!$H:$H,'Processado 2'!$G:$G,'Execução do PA iNOVA'!$C44,'Processado 2'!$A:$A,2021,'Processado 2'!$B:$B,'Execução do PA iNOVA'!K$5)</f>
        <v>0</v>
      </c>
      <c r="M44" s="32" t="e">
        <f t="shared" si="56"/>
        <v>#REF!</v>
      </c>
      <c r="N44" s="31" t="e">
        <f t="shared" si="54"/>
        <v>#REF!</v>
      </c>
      <c r="O44" s="18">
        <f>SUMIFS('Processado 2'!$H:$H,'Processado 2'!$G:$G,'Execução do PA iNOVA'!$C44,'Processado 2'!$A:$A,2021,'Processado 2'!$B:$B,'Execução do PA iNOVA'!N$5)</f>
        <v>0</v>
      </c>
      <c r="P44" s="32" t="e">
        <f t="shared" si="57"/>
        <v>#REF!</v>
      </c>
      <c r="Q44" s="31" t="e">
        <f t="shared" si="54"/>
        <v>#REF!</v>
      </c>
      <c r="R44" s="18">
        <f>SUMIFS('Processado 2'!$H:$H,'Processado 2'!$G:$G,'Execução do PA iNOVA'!$C44,'Processado 2'!$A:$A,2021,'Processado 2'!$B:$B,'Execução do PA iNOVA'!Q$5)</f>
        <v>0</v>
      </c>
      <c r="S44" s="32" t="e">
        <f t="shared" si="58"/>
        <v>#REF!</v>
      </c>
      <c r="T44" s="31" t="e">
        <f t="shared" si="54"/>
        <v>#REF!</v>
      </c>
      <c r="U44" s="18">
        <f>SUMIFS('Processado 2'!$H:$H,'Processado 2'!$G:$G,'Execução do PA iNOVA'!$C44,'Processado 2'!$A:$A,2021,'Processado 2'!$B:$B,'Execução do PA iNOVA'!T$5)</f>
        <v>0</v>
      </c>
      <c r="V44" s="32" t="e">
        <f t="shared" si="59"/>
        <v>#REF!</v>
      </c>
      <c r="W44" s="31" t="e">
        <f t="shared" si="54"/>
        <v>#REF!</v>
      </c>
      <c r="X44" s="18">
        <f>SUMIFS('Processado 2'!$H:$H,'Processado 2'!$G:$G,'Execução do PA iNOVA'!$C44,'Processado 2'!$A:$A,2021,'Processado 2'!$B:$B,'Execução do PA iNOVA'!W$5)</f>
        <v>0</v>
      </c>
      <c r="Y44" s="32" t="e">
        <f t="shared" si="60"/>
        <v>#REF!</v>
      </c>
      <c r="Z44" s="31" t="e">
        <f t="shared" si="54"/>
        <v>#REF!</v>
      </c>
      <c r="AA44" s="18">
        <f>SUMIFS('Processado 2'!$H:$H,'Processado 2'!$G:$G,'Execução do PA iNOVA'!$C44,'Processado 2'!$A:$A,2021,'Processado 2'!$B:$B,'Execução do PA iNOVA'!Z$5)</f>
        <v>0</v>
      </c>
      <c r="AB44" s="32" t="e">
        <f t="shared" si="61"/>
        <v>#REF!</v>
      </c>
      <c r="AC44" s="31" t="e">
        <f t="shared" si="54"/>
        <v>#REF!</v>
      </c>
      <c r="AD44" s="18">
        <f>SUMIFS('Processado 2'!$H:$H,'Processado 2'!$G:$G,'Execução do PA iNOVA'!$C44,'Processado 2'!$A:$A,2021,'Processado 2'!$B:$B,'Execução do PA iNOVA'!AC$5)</f>
        <v>0</v>
      </c>
      <c r="AE44" s="32" t="e">
        <f t="shared" si="62"/>
        <v>#REF!</v>
      </c>
      <c r="AF44" s="31" t="e">
        <f t="shared" si="54"/>
        <v>#REF!</v>
      </c>
      <c r="AG44" s="18">
        <f>SUMIFS('Processado 2'!$H:$H,'Processado 2'!$G:$G,'Execução do PA iNOVA'!$C44,'Processado 2'!$A:$A,2021,'Processado 2'!$B:$B,'Execução do PA iNOVA'!AF$5)</f>
        <v>0</v>
      </c>
      <c r="AH44" s="32" t="e">
        <f t="shared" si="63"/>
        <v>#REF!</v>
      </c>
      <c r="AI44" s="31" t="e">
        <f t="shared" si="54"/>
        <v>#REF!</v>
      </c>
      <c r="AJ44" s="18">
        <f>SUMIFS('Processado 2'!$H:$H,'Processado 2'!$G:$G,'Execução do PA iNOVA'!$C44,'Processado 2'!$A:$A,2021,'Processado 2'!$B:$B,'Execução do PA iNOVA'!AI$5)</f>
        <v>0</v>
      </c>
      <c r="AK44" s="32" t="e">
        <f t="shared" si="64"/>
        <v>#REF!</v>
      </c>
      <c r="AL44" s="31" t="e">
        <f t="shared" si="54"/>
        <v>#REF!</v>
      </c>
      <c r="AM44" s="18">
        <f>SUMIFS('Processado 2'!$H:$H,'Processado 2'!$G:$G,'Execução do PA iNOVA'!$C44,'Processado 2'!$A:$A,2021,'Processado 2'!$B:$B,'Execução do PA iNOVA'!AL$5)</f>
        <v>0</v>
      </c>
      <c r="AN44" s="32" t="e">
        <f t="shared" si="65"/>
        <v>#REF!</v>
      </c>
      <c r="AO44" s="17" t="e">
        <f t="shared" si="51"/>
        <v>#REF!</v>
      </c>
      <c r="AP44" s="18">
        <f t="shared" si="52"/>
        <v>0</v>
      </c>
      <c r="AQ44" s="32" t="e">
        <f t="shared" si="66"/>
        <v>#REF!</v>
      </c>
    </row>
    <row r="45" spans="2:43" x14ac:dyDescent="0.35">
      <c r="C45" t="s">
        <v>29</v>
      </c>
      <c r="D45" s="16">
        <v>2.4912311170966661E-3</v>
      </c>
      <c r="E45" s="17" t="e">
        <f t="shared" si="53"/>
        <v>#REF!</v>
      </c>
      <c r="F45" s="18">
        <f>SUMIFS('Processado 2'!$H:$H,'Processado 2'!$G:$G,'Execução do PA iNOVA'!$C45,'Processado 2'!$A:$A,2020,'Processado 2'!$B:$B,'Execução do PA iNOVA'!E$5)</f>
        <v>0</v>
      </c>
      <c r="G45" s="27" t="e">
        <f t="shared" si="55"/>
        <v>#REF!</v>
      </c>
      <c r="H45" s="31" t="e">
        <f t="shared" si="54"/>
        <v>#REF!</v>
      </c>
      <c r="I45" s="18">
        <f>SUMIFS('Processado 2'!$H:$H,'Processado 2'!$G:$G,'Execução do PA iNOVA'!$C45,'Processado 2'!$A:$A,2021,'Processado 2'!$B:$B,'Execução do PA iNOVA'!H$5)</f>
        <v>0</v>
      </c>
      <c r="J45" s="32" t="e">
        <f t="shared" si="50"/>
        <v>#REF!</v>
      </c>
      <c r="K45" s="31" t="e">
        <f t="shared" si="54"/>
        <v>#REF!</v>
      </c>
      <c r="L45" s="18">
        <f>SUMIFS('Processado 2'!$H:$H,'Processado 2'!$G:$G,'Execução do PA iNOVA'!$C45,'Processado 2'!$A:$A,2021,'Processado 2'!$B:$B,'Execução do PA iNOVA'!K$5)</f>
        <v>0</v>
      </c>
      <c r="M45" s="32" t="e">
        <f t="shared" si="56"/>
        <v>#REF!</v>
      </c>
      <c r="N45" s="31" t="e">
        <f t="shared" si="54"/>
        <v>#REF!</v>
      </c>
      <c r="O45" s="18">
        <f>SUMIFS('Processado 2'!$H:$H,'Processado 2'!$G:$G,'Execução do PA iNOVA'!$C45,'Processado 2'!$A:$A,2021,'Processado 2'!$B:$B,'Execução do PA iNOVA'!N$5)</f>
        <v>0</v>
      </c>
      <c r="P45" s="32" t="e">
        <f t="shared" si="57"/>
        <v>#REF!</v>
      </c>
      <c r="Q45" s="31" t="e">
        <f t="shared" si="54"/>
        <v>#REF!</v>
      </c>
      <c r="R45" s="18">
        <f>SUMIFS('Processado 2'!$H:$H,'Processado 2'!$G:$G,'Execução do PA iNOVA'!$C45,'Processado 2'!$A:$A,2021,'Processado 2'!$B:$B,'Execução do PA iNOVA'!Q$5)</f>
        <v>0</v>
      </c>
      <c r="S45" s="32" t="e">
        <f t="shared" si="58"/>
        <v>#REF!</v>
      </c>
      <c r="T45" s="31" t="e">
        <f t="shared" si="54"/>
        <v>#REF!</v>
      </c>
      <c r="U45" s="18">
        <f>SUMIFS('Processado 2'!$H:$H,'Processado 2'!$G:$G,'Execução do PA iNOVA'!$C45,'Processado 2'!$A:$A,2021,'Processado 2'!$B:$B,'Execução do PA iNOVA'!T$5)</f>
        <v>0</v>
      </c>
      <c r="V45" s="32" t="e">
        <f t="shared" si="59"/>
        <v>#REF!</v>
      </c>
      <c r="W45" s="31" t="e">
        <f t="shared" si="54"/>
        <v>#REF!</v>
      </c>
      <c r="X45" s="18">
        <f>SUMIFS('Processado 2'!$H:$H,'Processado 2'!$G:$G,'Execução do PA iNOVA'!$C45,'Processado 2'!$A:$A,2021,'Processado 2'!$B:$B,'Execução do PA iNOVA'!W$5)</f>
        <v>0</v>
      </c>
      <c r="Y45" s="32" t="e">
        <f t="shared" si="60"/>
        <v>#REF!</v>
      </c>
      <c r="Z45" s="31" t="e">
        <f t="shared" si="54"/>
        <v>#REF!</v>
      </c>
      <c r="AA45" s="18">
        <f>SUMIFS('Processado 2'!$H:$H,'Processado 2'!$G:$G,'Execução do PA iNOVA'!$C45,'Processado 2'!$A:$A,2021,'Processado 2'!$B:$B,'Execução do PA iNOVA'!Z$5)</f>
        <v>0</v>
      </c>
      <c r="AB45" s="32" t="e">
        <f t="shared" si="61"/>
        <v>#REF!</v>
      </c>
      <c r="AC45" s="31" t="e">
        <f t="shared" si="54"/>
        <v>#REF!</v>
      </c>
      <c r="AD45" s="18">
        <f>SUMIFS('Processado 2'!$H:$H,'Processado 2'!$G:$G,'Execução do PA iNOVA'!$C45,'Processado 2'!$A:$A,2021,'Processado 2'!$B:$B,'Execução do PA iNOVA'!AC$5)</f>
        <v>0</v>
      </c>
      <c r="AE45" s="32" t="e">
        <f t="shared" si="62"/>
        <v>#REF!</v>
      </c>
      <c r="AF45" s="31" t="e">
        <f t="shared" si="54"/>
        <v>#REF!</v>
      </c>
      <c r="AG45" s="18">
        <f>SUMIFS('Processado 2'!$H:$H,'Processado 2'!$G:$G,'Execução do PA iNOVA'!$C45,'Processado 2'!$A:$A,2021,'Processado 2'!$B:$B,'Execução do PA iNOVA'!AF$5)</f>
        <v>0</v>
      </c>
      <c r="AH45" s="32" t="e">
        <f t="shared" si="63"/>
        <v>#REF!</v>
      </c>
      <c r="AI45" s="31" t="e">
        <f t="shared" si="54"/>
        <v>#REF!</v>
      </c>
      <c r="AJ45" s="18">
        <f>SUMIFS('Processado 2'!$H:$H,'Processado 2'!$G:$G,'Execução do PA iNOVA'!$C45,'Processado 2'!$A:$A,2021,'Processado 2'!$B:$B,'Execução do PA iNOVA'!AI$5)</f>
        <v>0</v>
      </c>
      <c r="AK45" s="32" t="e">
        <f t="shared" si="64"/>
        <v>#REF!</v>
      </c>
      <c r="AL45" s="31" t="e">
        <f t="shared" si="54"/>
        <v>#REF!</v>
      </c>
      <c r="AM45" s="18">
        <f>SUMIFS('Processado 2'!$H:$H,'Processado 2'!$G:$G,'Execução do PA iNOVA'!$C45,'Processado 2'!$A:$A,2021,'Processado 2'!$B:$B,'Execução do PA iNOVA'!AL$5)</f>
        <v>0</v>
      </c>
      <c r="AN45" s="32" t="e">
        <f t="shared" si="65"/>
        <v>#REF!</v>
      </c>
      <c r="AO45" s="17" t="e">
        <f t="shared" si="51"/>
        <v>#REF!</v>
      </c>
      <c r="AP45" s="18">
        <f t="shared" si="52"/>
        <v>0</v>
      </c>
      <c r="AQ45" s="32" t="e">
        <f t="shared" si="66"/>
        <v>#REF!</v>
      </c>
    </row>
    <row r="46" spans="2:43" x14ac:dyDescent="0.35">
      <c r="C46" t="s">
        <v>83</v>
      </c>
      <c r="D46" s="16">
        <v>7.0864899821237665E-3</v>
      </c>
      <c r="E46" s="17" t="e">
        <f t="shared" si="53"/>
        <v>#REF!</v>
      </c>
      <c r="F46" s="18">
        <f>SUMIFS('Processado 2'!$H:$H,'Processado 2'!$G:$G,'Execução do PA iNOVA'!$C46,'Processado 2'!$A:$A,2020,'Processado 2'!$B:$B,'Execução do PA iNOVA'!E$5)</f>
        <v>0</v>
      </c>
      <c r="G46" s="27" t="e">
        <f t="shared" si="55"/>
        <v>#REF!</v>
      </c>
      <c r="H46" s="31" t="e">
        <f t="shared" si="54"/>
        <v>#REF!</v>
      </c>
      <c r="I46" s="18">
        <f>SUMIFS('Processado 2'!$H:$H,'Processado 2'!$G:$G,'Execução do PA iNOVA'!$C46,'Processado 2'!$A:$A,2021,'Processado 2'!$B:$B,'Execução do PA iNOVA'!H$5)</f>
        <v>0</v>
      </c>
      <c r="J46" s="32" t="e">
        <f t="shared" si="50"/>
        <v>#REF!</v>
      </c>
      <c r="K46" s="31" t="e">
        <f t="shared" si="54"/>
        <v>#REF!</v>
      </c>
      <c r="L46" s="18">
        <f>SUMIFS('Processado 2'!$H:$H,'Processado 2'!$G:$G,'Execução do PA iNOVA'!$C46,'Processado 2'!$A:$A,2021,'Processado 2'!$B:$B,'Execução do PA iNOVA'!K$5)</f>
        <v>0</v>
      </c>
      <c r="M46" s="32" t="e">
        <f t="shared" si="56"/>
        <v>#REF!</v>
      </c>
      <c r="N46" s="31" t="e">
        <f t="shared" si="54"/>
        <v>#REF!</v>
      </c>
      <c r="O46" s="18">
        <f>SUMIFS('Processado 2'!$H:$H,'Processado 2'!$G:$G,'Execução do PA iNOVA'!$C46,'Processado 2'!$A:$A,2021,'Processado 2'!$B:$B,'Execução do PA iNOVA'!N$5)</f>
        <v>0</v>
      </c>
      <c r="P46" s="32" t="e">
        <f t="shared" si="57"/>
        <v>#REF!</v>
      </c>
      <c r="Q46" s="31" t="e">
        <f t="shared" si="54"/>
        <v>#REF!</v>
      </c>
      <c r="R46" s="18">
        <f>SUMIFS('Processado 2'!$H:$H,'Processado 2'!$G:$G,'Execução do PA iNOVA'!$C46,'Processado 2'!$A:$A,2021,'Processado 2'!$B:$B,'Execução do PA iNOVA'!Q$5)</f>
        <v>0</v>
      </c>
      <c r="S46" s="32" t="e">
        <f t="shared" si="58"/>
        <v>#REF!</v>
      </c>
      <c r="T46" s="31" t="e">
        <f t="shared" si="54"/>
        <v>#REF!</v>
      </c>
      <c r="U46" s="18">
        <f>SUMIFS('Processado 2'!$H:$H,'Processado 2'!$G:$G,'Execução do PA iNOVA'!$C46,'Processado 2'!$A:$A,2021,'Processado 2'!$B:$B,'Execução do PA iNOVA'!T$5)</f>
        <v>0</v>
      </c>
      <c r="V46" s="32" t="e">
        <f t="shared" si="59"/>
        <v>#REF!</v>
      </c>
      <c r="W46" s="31" t="e">
        <f t="shared" si="54"/>
        <v>#REF!</v>
      </c>
      <c r="X46" s="18">
        <f>SUMIFS('Processado 2'!$H:$H,'Processado 2'!$G:$G,'Execução do PA iNOVA'!$C46,'Processado 2'!$A:$A,2021,'Processado 2'!$B:$B,'Execução do PA iNOVA'!W$5)</f>
        <v>0</v>
      </c>
      <c r="Y46" s="32" t="e">
        <f t="shared" si="60"/>
        <v>#REF!</v>
      </c>
      <c r="Z46" s="31" t="e">
        <f t="shared" si="54"/>
        <v>#REF!</v>
      </c>
      <c r="AA46" s="18">
        <f>SUMIFS('Processado 2'!$H:$H,'Processado 2'!$G:$G,'Execução do PA iNOVA'!$C46,'Processado 2'!$A:$A,2021,'Processado 2'!$B:$B,'Execução do PA iNOVA'!Z$5)</f>
        <v>0</v>
      </c>
      <c r="AB46" s="32" t="e">
        <f t="shared" si="61"/>
        <v>#REF!</v>
      </c>
      <c r="AC46" s="31" t="e">
        <f t="shared" si="54"/>
        <v>#REF!</v>
      </c>
      <c r="AD46" s="18">
        <f>SUMIFS('Processado 2'!$H:$H,'Processado 2'!$G:$G,'Execução do PA iNOVA'!$C46,'Processado 2'!$A:$A,2021,'Processado 2'!$B:$B,'Execução do PA iNOVA'!AC$5)</f>
        <v>0</v>
      </c>
      <c r="AE46" s="32" t="e">
        <f t="shared" si="62"/>
        <v>#REF!</v>
      </c>
      <c r="AF46" s="31" t="e">
        <f t="shared" si="54"/>
        <v>#REF!</v>
      </c>
      <c r="AG46" s="18">
        <f>SUMIFS('Processado 2'!$H:$H,'Processado 2'!$G:$G,'Execução do PA iNOVA'!$C46,'Processado 2'!$A:$A,2021,'Processado 2'!$B:$B,'Execução do PA iNOVA'!AF$5)</f>
        <v>0</v>
      </c>
      <c r="AH46" s="32" t="e">
        <f t="shared" si="63"/>
        <v>#REF!</v>
      </c>
      <c r="AI46" s="31" t="e">
        <f t="shared" si="54"/>
        <v>#REF!</v>
      </c>
      <c r="AJ46" s="18">
        <f>SUMIFS('Processado 2'!$H:$H,'Processado 2'!$G:$G,'Execução do PA iNOVA'!$C46,'Processado 2'!$A:$A,2021,'Processado 2'!$B:$B,'Execução do PA iNOVA'!AI$5)</f>
        <v>0</v>
      </c>
      <c r="AK46" s="32" t="e">
        <f t="shared" si="64"/>
        <v>#REF!</v>
      </c>
      <c r="AL46" s="31" t="e">
        <f t="shared" si="54"/>
        <v>#REF!</v>
      </c>
      <c r="AM46" s="18">
        <f>SUMIFS('Processado 2'!$H:$H,'Processado 2'!$G:$G,'Execução do PA iNOVA'!$C46,'Processado 2'!$A:$A,2021,'Processado 2'!$B:$B,'Execução do PA iNOVA'!AL$5)</f>
        <v>0</v>
      </c>
      <c r="AN46" s="32" t="e">
        <f t="shared" si="65"/>
        <v>#REF!</v>
      </c>
      <c r="AO46" s="17" t="e">
        <f t="shared" si="51"/>
        <v>#REF!</v>
      </c>
      <c r="AP46" s="18">
        <f t="shared" si="52"/>
        <v>0</v>
      </c>
      <c r="AQ46" s="32" t="e">
        <f t="shared" si="66"/>
        <v>#REF!</v>
      </c>
    </row>
    <row r="47" spans="2:43" x14ac:dyDescent="0.35">
      <c r="C47" t="s">
        <v>175</v>
      </c>
      <c r="D47" s="16">
        <v>0.67712881710021233</v>
      </c>
      <c r="E47" s="17" t="e">
        <f t="shared" si="53"/>
        <v>#REF!</v>
      </c>
      <c r="F47" s="18">
        <f>SUMIFS('Processado 2'!$H:$H,'Processado 2'!$G:$G,'Execução do PA iNOVA'!$C47,'Processado 2'!$A:$A,2020,'Processado 2'!$B:$B,'Execução do PA iNOVA'!E$5)</f>
        <v>0</v>
      </c>
      <c r="G47" s="27" t="e">
        <f t="shared" si="55"/>
        <v>#REF!</v>
      </c>
      <c r="H47" s="31" t="e">
        <f t="shared" si="54"/>
        <v>#REF!</v>
      </c>
      <c r="I47" s="18">
        <f>SUMIFS('Processado 2'!$H:$H,'Processado 2'!$G:$G,'Execução do PA iNOVA'!$C47,'Processado 2'!$A:$A,2021,'Processado 2'!$B:$B,'Execução do PA iNOVA'!H$5)</f>
        <v>0</v>
      </c>
      <c r="J47" s="32" t="e">
        <f t="shared" si="50"/>
        <v>#REF!</v>
      </c>
      <c r="K47" s="31" t="e">
        <f t="shared" si="54"/>
        <v>#REF!</v>
      </c>
      <c r="L47" s="18">
        <f>SUMIFS('Processado 2'!$H:$H,'Processado 2'!$G:$G,'Execução do PA iNOVA'!$C47,'Processado 2'!$A:$A,2021,'Processado 2'!$B:$B,'Execução do PA iNOVA'!K$5)</f>
        <v>0</v>
      </c>
      <c r="M47" s="32" t="e">
        <f t="shared" si="56"/>
        <v>#REF!</v>
      </c>
      <c r="N47" s="31" t="e">
        <f t="shared" si="54"/>
        <v>#REF!</v>
      </c>
      <c r="O47" s="18">
        <f>SUMIFS('Processado 2'!$H:$H,'Processado 2'!$G:$G,'Execução do PA iNOVA'!$C47,'Processado 2'!$A:$A,2021,'Processado 2'!$B:$B,'Execução do PA iNOVA'!N$5)</f>
        <v>0</v>
      </c>
      <c r="P47" s="32" t="e">
        <f t="shared" si="57"/>
        <v>#REF!</v>
      </c>
      <c r="Q47" s="31" t="e">
        <f t="shared" si="54"/>
        <v>#REF!</v>
      </c>
      <c r="R47" s="18">
        <f>SUMIFS('Processado 2'!$H:$H,'Processado 2'!$G:$G,'Execução do PA iNOVA'!$C47,'Processado 2'!$A:$A,2021,'Processado 2'!$B:$B,'Execução do PA iNOVA'!Q$5)</f>
        <v>0</v>
      </c>
      <c r="S47" s="32" t="e">
        <f t="shared" si="58"/>
        <v>#REF!</v>
      </c>
      <c r="T47" s="31" t="e">
        <f t="shared" si="54"/>
        <v>#REF!</v>
      </c>
      <c r="U47" s="18">
        <f>SUMIFS('Processado 2'!$H:$H,'Processado 2'!$G:$G,'Execução do PA iNOVA'!$C47,'Processado 2'!$A:$A,2021,'Processado 2'!$B:$B,'Execução do PA iNOVA'!T$5)</f>
        <v>0</v>
      </c>
      <c r="V47" s="32" t="e">
        <f t="shared" si="59"/>
        <v>#REF!</v>
      </c>
      <c r="W47" s="31" t="e">
        <f t="shared" si="54"/>
        <v>#REF!</v>
      </c>
      <c r="X47" s="18">
        <f>SUMIFS('Processado 2'!$H:$H,'Processado 2'!$G:$G,'Execução do PA iNOVA'!$C47,'Processado 2'!$A:$A,2021,'Processado 2'!$B:$B,'Execução do PA iNOVA'!W$5)</f>
        <v>0</v>
      </c>
      <c r="Y47" s="32" t="e">
        <f t="shared" si="60"/>
        <v>#REF!</v>
      </c>
      <c r="Z47" s="31" t="e">
        <f t="shared" si="54"/>
        <v>#REF!</v>
      </c>
      <c r="AA47" s="18">
        <f>SUMIFS('Processado 2'!$H:$H,'Processado 2'!$G:$G,'Execução do PA iNOVA'!$C47,'Processado 2'!$A:$A,2021,'Processado 2'!$B:$B,'Execução do PA iNOVA'!Z$5)</f>
        <v>0</v>
      </c>
      <c r="AB47" s="32" t="e">
        <f t="shared" si="61"/>
        <v>#REF!</v>
      </c>
      <c r="AC47" s="31" t="e">
        <f t="shared" si="54"/>
        <v>#REF!</v>
      </c>
      <c r="AD47" s="18">
        <f>SUMIFS('Processado 2'!$H:$H,'Processado 2'!$G:$G,'Execução do PA iNOVA'!$C47,'Processado 2'!$A:$A,2021,'Processado 2'!$B:$B,'Execução do PA iNOVA'!AC$5)</f>
        <v>0</v>
      </c>
      <c r="AE47" s="32" t="e">
        <f t="shared" si="62"/>
        <v>#REF!</v>
      </c>
      <c r="AF47" s="31" t="e">
        <f t="shared" si="54"/>
        <v>#REF!</v>
      </c>
      <c r="AG47" s="18">
        <f>SUMIFS('Processado 2'!$H:$H,'Processado 2'!$G:$G,'Execução do PA iNOVA'!$C47,'Processado 2'!$A:$A,2021,'Processado 2'!$B:$B,'Execução do PA iNOVA'!AF$5)</f>
        <v>0</v>
      </c>
      <c r="AH47" s="32" t="e">
        <f t="shared" si="63"/>
        <v>#REF!</v>
      </c>
      <c r="AI47" s="31" t="e">
        <f t="shared" si="54"/>
        <v>#REF!</v>
      </c>
      <c r="AJ47" s="18">
        <f>SUMIFS('Processado 2'!$H:$H,'Processado 2'!$G:$G,'Execução do PA iNOVA'!$C47,'Processado 2'!$A:$A,2021,'Processado 2'!$B:$B,'Execução do PA iNOVA'!AI$5)</f>
        <v>0</v>
      </c>
      <c r="AK47" s="32" t="e">
        <f t="shared" si="64"/>
        <v>#REF!</v>
      </c>
      <c r="AL47" s="31" t="e">
        <f t="shared" si="54"/>
        <v>#REF!</v>
      </c>
      <c r="AM47" s="18">
        <f>SUMIFS('Processado 2'!$H:$H,'Processado 2'!$G:$G,'Execução do PA iNOVA'!$C47,'Processado 2'!$A:$A,2021,'Processado 2'!$B:$B,'Execução do PA iNOVA'!AL$5)</f>
        <v>0</v>
      </c>
      <c r="AN47" s="32" t="e">
        <f t="shared" si="65"/>
        <v>#REF!</v>
      </c>
      <c r="AO47" s="17" t="e">
        <f t="shared" si="51"/>
        <v>#REF!</v>
      </c>
      <c r="AP47" s="18">
        <f t="shared" si="52"/>
        <v>0</v>
      </c>
      <c r="AQ47" s="32" t="e">
        <f t="shared" si="66"/>
        <v>#REF!</v>
      </c>
    </row>
    <row r="48" spans="2:43" x14ac:dyDescent="0.35">
      <c r="C48" t="s">
        <v>174</v>
      </c>
      <c r="D48" s="16">
        <v>0.26926988405638241</v>
      </c>
      <c r="E48" s="17" t="e">
        <f t="shared" si="53"/>
        <v>#REF!</v>
      </c>
      <c r="F48" s="18">
        <f>SUMIFS('Processado 2'!$H:$H,'Processado 2'!$G:$G,'Execução do PA iNOVA'!$C48,'Processado 2'!$A:$A,2020,'Processado 2'!$B:$B,'Execução do PA iNOVA'!E$5)</f>
        <v>0</v>
      </c>
      <c r="G48" s="27" t="e">
        <f t="shared" si="55"/>
        <v>#REF!</v>
      </c>
      <c r="H48" s="31" t="e">
        <f t="shared" si="54"/>
        <v>#REF!</v>
      </c>
      <c r="I48" s="18">
        <f>SUMIFS('Processado 2'!$H:$H,'Processado 2'!$G:$G,'Execução do PA iNOVA'!$C48,'Processado 2'!$A:$A,2021,'Processado 2'!$B:$B,'Execução do PA iNOVA'!H$5)</f>
        <v>0</v>
      </c>
      <c r="J48" s="32" t="e">
        <f t="shared" si="50"/>
        <v>#REF!</v>
      </c>
      <c r="K48" s="31" t="e">
        <f t="shared" si="54"/>
        <v>#REF!</v>
      </c>
      <c r="L48" s="18">
        <f>SUMIFS('Processado 2'!$H:$H,'Processado 2'!$G:$G,'Execução do PA iNOVA'!$C48,'Processado 2'!$A:$A,2021,'Processado 2'!$B:$B,'Execução do PA iNOVA'!K$5)</f>
        <v>0</v>
      </c>
      <c r="M48" s="32" t="e">
        <f t="shared" si="56"/>
        <v>#REF!</v>
      </c>
      <c r="N48" s="31" t="e">
        <f t="shared" si="54"/>
        <v>#REF!</v>
      </c>
      <c r="O48" s="18">
        <f>SUMIFS('Processado 2'!$H:$H,'Processado 2'!$G:$G,'Execução do PA iNOVA'!$C48,'Processado 2'!$A:$A,2021,'Processado 2'!$B:$B,'Execução do PA iNOVA'!N$5)</f>
        <v>0</v>
      </c>
      <c r="P48" s="32" t="e">
        <f t="shared" si="57"/>
        <v>#REF!</v>
      </c>
      <c r="Q48" s="31" t="e">
        <f t="shared" si="54"/>
        <v>#REF!</v>
      </c>
      <c r="R48" s="18">
        <f>SUMIFS('Processado 2'!$H:$H,'Processado 2'!$G:$G,'Execução do PA iNOVA'!$C48,'Processado 2'!$A:$A,2021,'Processado 2'!$B:$B,'Execução do PA iNOVA'!Q$5)</f>
        <v>0</v>
      </c>
      <c r="S48" s="32" t="e">
        <f t="shared" si="58"/>
        <v>#REF!</v>
      </c>
      <c r="T48" s="31" t="e">
        <f t="shared" si="54"/>
        <v>#REF!</v>
      </c>
      <c r="U48" s="18">
        <f>SUMIFS('Processado 2'!$H:$H,'Processado 2'!$G:$G,'Execução do PA iNOVA'!$C48,'Processado 2'!$A:$A,2021,'Processado 2'!$B:$B,'Execução do PA iNOVA'!T$5)</f>
        <v>0</v>
      </c>
      <c r="V48" s="32" t="e">
        <f t="shared" si="59"/>
        <v>#REF!</v>
      </c>
      <c r="W48" s="31" t="e">
        <f t="shared" si="54"/>
        <v>#REF!</v>
      </c>
      <c r="X48" s="18">
        <f>SUMIFS('Processado 2'!$H:$H,'Processado 2'!$G:$G,'Execução do PA iNOVA'!$C48,'Processado 2'!$A:$A,2021,'Processado 2'!$B:$B,'Execução do PA iNOVA'!W$5)</f>
        <v>0</v>
      </c>
      <c r="Y48" s="32" t="e">
        <f t="shared" si="60"/>
        <v>#REF!</v>
      </c>
      <c r="Z48" s="31" t="e">
        <f t="shared" si="54"/>
        <v>#REF!</v>
      </c>
      <c r="AA48" s="18">
        <f>SUMIFS('Processado 2'!$H:$H,'Processado 2'!$G:$G,'Execução do PA iNOVA'!$C48,'Processado 2'!$A:$A,2021,'Processado 2'!$B:$B,'Execução do PA iNOVA'!Z$5)</f>
        <v>0</v>
      </c>
      <c r="AB48" s="32" t="e">
        <f t="shared" si="61"/>
        <v>#REF!</v>
      </c>
      <c r="AC48" s="31" t="e">
        <f t="shared" si="54"/>
        <v>#REF!</v>
      </c>
      <c r="AD48" s="18">
        <f>SUMIFS('Processado 2'!$H:$H,'Processado 2'!$G:$G,'Execução do PA iNOVA'!$C48,'Processado 2'!$A:$A,2021,'Processado 2'!$B:$B,'Execução do PA iNOVA'!AC$5)</f>
        <v>0</v>
      </c>
      <c r="AE48" s="32" t="e">
        <f t="shared" si="62"/>
        <v>#REF!</v>
      </c>
      <c r="AF48" s="31" t="e">
        <f t="shared" si="54"/>
        <v>#REF!</v>
      </c>
      <c r="AG48" s="18">
        <f>SUMIFS('Processado 2'!$H:$H,'Processado 2'!$G:$G,'Execução do PA iNOVA'!$C48,'Processado 2'!$A:$A,2021,'Processado 2'!$B:$B,'Execução do PA iNOVA'!AF$5)</f>
        <v>0</v>
      </c>
      <c r="AH48" s="32" t="e">
        <f t="shared" si="63"/>
        <v>#REF!</v>
      </c>
      <c r="AI48" s="31" t="e">
        <f t="shared" si="54"/>
        <v>#REF!</v>
      </c>
      <c r="AJ48" s="18">
        <f>SUMIFS('Processado 2'!$H:$H,'Processado 2'!$G:$G,'Execução do PA iNOVA'!$C48,'Processado 2'!$A:$A,2021,'Processado 2'!$B:$B,'Execução do PA iNOVA'!AI$5)</f>
        <v>0</v>
      </c>
      <c r="AK48" s="32" t="e">
        <f t="shared" si="64"/>
        <v>#REF!</v>
      </c>
      <c r="AL48" s="31" t="e">
        <f t="shared" si="54"/>
        <v>#REF!</v>
      </c>
      <c r="AM48" s="18">
        <f>SUMIFS('Processado 2'!$H:$H,'Processado 2'!$G:$G,'Execução do PA iNOVA'!$C48,'Processado 2'!$A:$A,2021,'Processado 2'!$B:$B,'Execução do PA iNOVA'!AL$5)</f>
        <v>0</v>
      </c>
      <c r="AN48" s="32" t="e">
        <f t="shared" si="65"/>
        <v>#REF!</v>
      </c>
      <c r="AO48" s="17" t="e">
        <f t="shared" si="51"/>
        <v>#REF!</v>
      </c>
      <c r="AP48" s="18">
        <f t="shared" si="52"/>
        <v>0</v>
      </c>
      <c r="AQ48" s="32" t="e">
        <f t="shared" si="66"/>
        <v>#REF!</v>
      </c>
    </row>
    <row r="49" spans="2:43" x14ac:dyDescent="0.35">
      <c r="D49" s="19"/>
      <c r="E49" s="20"/>
      <c r="H49" s="33"/>
      <c r="J49" s="34"/>
      <c r="K49" s="33"/>
      <c r="M49" s="34"/>
      <c r="N49" s="33"/>
      <c r="P49" s="34"/>
      <c r="Q49" s="33"/>
      <c r="S49" s="34"/>
      <c r="T49" s="33"/>
      <c r="V49" s="34"/>
      <c r="W49" s="33"/>
      <c r="Y49" s="34"/>
      <c r="Z49" s="33"/>
      <c r="AB49" s="34"/>
      <c r="AC49" s="33"/>
      <c r="AE49" s="34"/>
      <c r="AF49" s="33"/>
      <c r="AH49" s="34"/>
      <c r="AI49" s="33"/>
      <c r="AK49" s="34"/>
      <c r="AL49" s="33"/>
      <c r="AN49" s="34"/>
      <c r="AO49" s="20"/>
      <c r="AQ49" s="34"/>
    </row>
    <row r="50" spans="2:43" s="13" customFormat="1" x14ac:dyDescent="0.35">
      <c r="B50" s="21" t="s">
        <v>95</v>
      </c>
      <c r="C50" s="21"/>
      <c r="D50" s="22">
        <v>4.4756681573610221E-2</v>
      </c>
      <c r="E50" s="23" t="e">
        <f>#REF!*$D50</f>
        <v>#REF!</v>
      </c>
      <c r="F50" s="24">
        <f>SUM(F51:F60)</f>
        <v>0</v>
      </c>
      <c r="G50" s="26" t="e">
        <f>E50-F50</f>
        <v>#REF!</v>
      </c>
      <c r="H50" s="29" t="e">
        <f>#REF!*$D50</f>
        <v>#REF!</v>
      </c>
      <c r="I50" s="24">
        <f>SUM(I51:I60)</f>
        <v>0</v>
      </c>
      <c r="J50" s="30" t="e">
        <f t="shared" ref="J50:J60" si="67">H50-I50+G50</f>
        <v>#REF!</v>
      </c>
      <c r="K50" s="29" t="e">
        <f>#REF!*$D50</f>
        <v>#REF!</v>
      </c>
      <c r="L50" s="24">
        <f>SUM(L51:L60)</f>
        <v>0</v>
      </c>
      <c r="M50" s="30" t="e">
        <f>K50-L50+J50</f>
        <v>#REF!</v>
      </c>
      <c r="N50" s="29" t="e">
        <f>#REF!*$D50</f>
        <v>#REF!</v>
      </c>
      <c r="O50" s="24">
        <f>SUM(O51:O60)</f>
        <v>0</v>
      </c>
      <c r="P50" s="30" t="e">
        <f>N50-O50+M50</f>
        <v>#REF!</v>
      </c>
      <c r="Q50" s="29" t="e">
        <f>#REF!*$D50</f>
        <v>#REF!</v>
      </c>
      <c r="R50" s="24">
        <f>SUM(R51:R60)</f>
        <v>0</v>
      </c>
      <c r="S50" s="30" t="e">
        <f>Q50-R50+P50</f>
        <v>#REF!</v>
      </c>
      <c r="T50" s="29" t="e">
        <f>#REF!*$D50</f>
        <v>#REF!</v>
      </c>
      <c r="U50" s="24">
        <f>SUM(U51:U60)</f>
        <v>0</v>
      </c>
      <c r="V50" s="30" t="e">
        <f>T50-U50+S50</f>
        <v>#REF!</v>
      </c>
      <c r="W50" s="29" t="e">
        <f>#REF!*$D50</f>
        <v>#REF!</v>
      </c>
      <c r="X50" s="24">
        <f>SUM(X51:X60)</f>
        <v>0</v>
      </c>
      <c r="Y50" s="30" t="e">
        <f>W50-X50+V50</f>
        <v>#REF!</v>
      </c>
      <c r="Z50" s="29" t="e">
        <f>#REF!*$D50</f>
        <v>#REF!</v>
      </c>
      <c r="AA50" s="24">
        <f>SUM(AA51:AA60)</f>
        <v>0</v>
      </c>
      <c r="AB50" s="30" t="e">
        <f>Z50-AA50+Y50</f>
        <v>#REF!</v>
      </c>
      <c r="AC50" s="29" t="e">
        <f>#REF!*$D50</f>
        <v>#REF!</v>
      </c>
      <c r="AD50" s="24">
        <f>SUM(AD51:AD60)</f>
        <v>0</v>
      </c>
      <c r="AE50" s="30" t="e">
        <f>AC50-AD50+AB50</f>
        <v>#REF!</v>
      </c>
      <c r="AF50" s="29" t="e">
        <f>#REF!*$D50</f>
        <v>#REF!</v>
      </c>
      <c r="AG50" s="24">
        <f>SUM(AG51:AG60)</f>
        <v>0</v>
      </c>
      <c r="AH50" s="30" t="e">
        <f>AF50-AG50+AE50</f>
        <v>#REF!</v>
      </c>
      <c r="AI50" s="29" t="e">
        <f>#REF!*$D50</f>
        <v>#REF!</v>
      </c>
      <c r="AJ50" s="24">
        <f>SUM(AJ51:AJ60)</f>
        <v>0</v>
      </c>
      <c r="AK50" s="30" t="e">
        <f>AI50-AJ50+AH50</f>
        <v>#REF!</v>
      </c>
      <c r="AL50" s="29" t="e">
        <f>#REF!*$D50</f>
        <v>#REF!</v>
      </c>
      <c r="AM50" s="24">
        <f>SUM(AM51:AM60)</f>
        <v>0</v>
      </c>
      <c r="AN50" s="30" t="e">
        <f>AL50-AM50+AK50</f>
        <v>#REF!</v>
      </c>
      <c r="AO50" s="23" t="e">
        <f t="shared" ref="AO50:AO60" si="68">SUM(AL50,AI50,AF50,AC50,Z50,W50,T50,Q50,N50,K50,H50,E50)</f>
        <v>#REF!</v>
      </c>
      <c r="AP50" s="24">
        <f t="shared" ref="AP50:AP60" si="69">SUM(AM50,AJ50,AG50,AD50,AA50,X50,U50,R50,O50,L50,I50,F50)</f>
        <v>0</v>
      </c>
      <c r="AQ50" s="30" t="e">
        <f>AO50-AP50</f>
        <v>#REF!</v>
      </c>
    </row>
    <row r="51" spans="2:43" x14ac:dyDescent="0.35">
      <c r="C51" t="s">
        <v>31</v>
      </c>
      <c r="D51" s="16">
        <v>0.26588668098950463</v>
      </c>
      <c r="E51" s="17" t="e">
        <f t="shared" ref="E51:E60" si="70">E$50*$D51</f>
        <v>#REF!</v>
      </c>
      <c r="F51" s="18">
        <f>SUMIFS('Processado 2'!$H:$H,'Processado 2'!$G:$G,'Execução do PA iNOVA'!$C51,'Processado 2'!$A:$A,2020,'Processado 2'!$B:$B,'Execução do PA iNOVA'!E$5)</f>
        <v>0</v>
      </c>
      <c r="G51" s="27" t="e">
        <f>E51-F51</f>
        <v>#REF!</v>
      </c>
      <c r="H51" s="31" t="e">
        <f t="shared" ref="H51:AL60" si="71">H$50*$D51</f>
        <v>#REF!</v>
      </c>
      <c r="I51" s="18">
        <f>SUMIFS('Processado 2'!$H:$H,'Processado 2'!$G:$G,'Execução do PA iNOVA'!$C51,'Processado 2'!$A:$A,2021,'Processado 2'!$B:$B,'Execução do PA iNOVA'!H$5)</f>
        <v>0</v>
      </c>
      <c r="J51" s="32" t="e">
        <f t="shared" si="67"/>
        <v>#REF!</v>
      </c>
      <c r="K51" s="31" t="e">
        <f t="shared" si="71"/>
        <v>#REF!</v>
      </c>
      <c r="L51" s="18">
        <f>SUMIFS('Processado 2'!$H:$H,'Processado 2'!$G:$G,'Execução do PA iNOVA'!$C51,'Processado 2'!$A:$A,2021,'Processado 2'!$B:$B,'Execução do PA iNOVA'!K$5)</f>
        <v>0</v>
      </c>
      <c r="M51" s="32" t="e">
        <f>K51-L51+J51</f>
        <v>#REF!</v>
      </c>
      <c r="N51" s="31" t="e">
        <f t="shared" si="71"/>
        <v>#REF!</v>
      </c>
      <c r="O51" s="18">
        <f>SUMIFS('Processado 2'!$H:$H,'Processado 2'!$G:$G,'Execução do PA iNOVA'!$C51,'Processado 2'!$A:$A,2021,'Processado 2'!$B:$B,'Execução do PA iNOVA'!N$5)</f>
        <v>0</v>
      </c>
      <c r="P51" s="32" t="e">
        <f>N51-O51+M51</f>
        <v>#REF!</v>
      </c>
      <c r="Q51" s="31" t="e">
        <f t="shared" si="71"/>
        <v>#REF!</v>
      </c>
      <c r="R51" s="18">
        <f>SUMIFS('Processado 2'!$H:$H,'Processado 2'!$G:$G,'Execução do PA iNOVA'!$C51,'Processado 2'!$A:$A,2021,'Processado 2'!$B:$B,'Execução do PA iNOVA'!Q$5)</f>
        <v>0</v>
      </c>
      <c r="S51" s="32" t="e">
        <f>Q51-R51+P51</f>
        <v>#REF!</v>
      </c>
      <c r="T51" s="31" t="e">
        <f t="shared" si="71"/>
        <v>#REF!</v>
      </c>
      <c r="U51" s="18">
        <f>SUMIFS('Processado 2'!$H:$H,'Processado 2'!$G:$G,'Execução do PA iNOVA'!$C51,'Processado 2'!$A:$A,2021,'Processado 2'!$B:$B,'Execução do PA iNOVA'!T$5)</f>
        <v>0</v>
      </c>
      <c r="V51" s="32" t="e">
        <f>T51-U51+S51</f>
        <v>#REF!</v>
      </c>
      <c r="W51" s="31" t="e">
        <f t="shared" si="71"/>
        <v>#REF!</v>
      </c>
      <c r="X51" s="18">
        <f>SUMIFS('Processado 2'!$H:$H,'Processado 2'!$G:$G,'Execução do PA iNOVA'!$C51,'Processado 2'!$A:$A,2021,'Processado 2'!$B:$B,'Execução do PA iNOVA'!W$5)</f>
        <v>0</v>
      </c>
      <c r="Y51" s="32" t="e">
        <f>W51-X51+V51</f>
        <v>#REF!</v>
      </c>
      <c r="Z51" s="31" t="e">
        <f t="shared" si="71"/>
        <v>#REF!</v>
      </c>
      <c r="AA51" s="18">
        <f>SUMIFS('Processado 2'!$H:$H,'Processado 2'!$G:$G,'Execução do PA iNOVA'!$C51,'Processado 2'!$A:$A,2021,'Processado 2'!$B:$B,'Execução do PA iNOVA'!Z$5)</f>
        <v>0</v>
      </c>
      <c r="AB51" s="32" t="e">
        <f>Z51-AA51+Y51</f>
        <v>#REF!</v>
      </c>
      <c r="AC51" s="31" t="e">
        <f t="shared" si="71"/>
        <v>#REF!</v>
      </c>
      <c r="AD51" s="18">
        <f>SUMIFS('Processado 2'!$H:$H,'Processado 2'!$G:$G,'Execução do PA iNOVA'!$C51,'Processado 2'!$A:$A,2021,'Processado 2'!$B:$B,'Execução do PA iNOVA'!AC$5)</f>
        <v>0</v>
      </c>
      <c r="AE51" s="32" t="e">
        <f>AC51-AD51+AB51</f>
        <v>#REF!</v>
      </c>
      <c r="AF51" s="31" t="e">
        <f t="shared" si="71"/>
        <v>#REF!</v>
      </c>
      <c r="AG51" s="18">
        <f>SUMIFS('Processado 2'!$H:$H,'Processado 2'!$G:$G,'Execução do PA iNOVA'!$C51,'Processado 2'!$A:$A,2021,'Processado 2'!$B:$B,'Execução do PA iNOVA'!AF$5)</f>
        <v>0</v>
      </c>
      <c r="AH51" s="32" t="e">
        <f>AF51-AG51+AE51</f>
        <v>#REF!</v>
      </c>
      <c r="AI51" s="31" t="e">
        <f t="shared" si="71"/>
        <v>#REF!</v>
      </c>
      <c r="AJ51" s="18">
        <f>SUMIFS('Processado 2'!$H:$H,'Processado 2'!$G:$G,'Execução do PA iNOVA'!$C51,'Processado 2'!$A:$A,2021,'Processado 2'!$B:$B,'Execução do PA iNOVA'!AI$5)</f>
        <v>0</v>
      </c>
      <c r="AK51" s="32" t="e">
        <f>AI51-AJ51+AH51</f>
        <v>#REF!</v>
      </c>
      <c r="AL51" s="31" t="e">
        <f t="shared" si="71"/>
        <v>#REF!</v>
      </c>
      <c r="AM51" s="18">
        <f>SUMIFS('Processado 2'!$H:$H,'Processado 2'!$G:$G,'Execução do PA iNOVA'!$C51,'Processado 2'!$A:$A,2021,'Processado 2'!$B:$B,'Execução do PA iNOVA'!AL$5)</f>
        <v>0</v>
      </c>
      <c r="AN51" s="32" t="e">
        <f>AL51-AM51+AK51</f>
        <v>#REF!</v>
      </c>
      <c r="AO51" s="17" t="e">
        <f t="shared" si="68"/>
        <v>#REF!</v>
      </c>
      <c r="AP51" s="18">
        <f t="shared" si="69"/>
        <v>0</v>
      </c>
      <c r="AQ51" s="32" t="e">
        <f>AO51-AP51</f>
        <v>#REF!</v>
      </c>
    </row>
    <row r="52" spans="2:43" x14ac:dyDescent="0.35">
      <c r="C52" t="s">
        <v>32</v>
      </c>
      <c r="D52" s="16">
        <v>0.19567428408150425</v>
      </c>
      <c r="E52" s="17" t="e">
        <f t="shared" si="70"/>
        <v>#REF!</v>
      </c>
      <c r="F52" s="18">
        <f>SUMIFS('Processado 2'!$H:$H,'Processado 2'!$G:$G,'Execução do PA iNOVA'!$C52,'Processado 2'!$A:$A,2020,'Processado 2'!$B:$B,'Execução do PA iNOVA'!E$5)</f>
        <v>0</v>
      </c>
      <c r="G52" s="27" t="e">
        <f t="shared" ref="G52:G60" si="72">E52-F52</f>
        <v>#REF!</v>
      </c>
      <c r="H52" s="31" t="e">
        <f t="shared" si="71"/>
        <v>#REF!</v>
      </c>
      <c r="I52" s="18">
        <f>SUMIFS('Processado 2'!$H:$H,'Processado 2'!$G:$G,'Execução do PA iNOVA'!$C52,'Processado 2'!$A:$A,2021,'Processado 2'!$B:$B,'Execução do PA iNOVA'!H$5)</f>
        <v>0</v>
      </c>
      <c r="J52" s="32" t="e">
        <f t="shared" si="67"/>
        <v>#REF!</v>
      </c>
      <c r="K52" s="31" t="e">
        <f t="shared" si="71"/>
        <v>#REF!</v>
      </c>
      <c r="L52" s="18">
        <f>SUMIFS('Processado 2'!$H:$H,'Processado 2'!$G:$G,'Execução do PA iNOVA'!$C52,'Processado 2'!$A:$A,2021,'Processado 2'!$B:$B,'Execução do PA iNOVA'!K$5)</f>
        <v>0</v>
      </c>
      <c r="M52" s="32" t="e">
        <f t="shared" ref="M52:M60" si="73">K52-L52+J52</f>
        <v>#REF!</v>
      </c>
      <c r="N52" s="31" t="e">
        <f t="shared" si="71"/>
        <v>#REF!</v>
      </c>
      <c r="O52" s="18">
        <f>SUMIFS('Processado 2'!$H:$H,'Processado 2'!$G:$G,'Execução do PA iNOVA'!$C52,'Processado 2'!$A:$A,2021,'Processado 2'!$B:$B,'Execução do PA iNOVA'!N$5)</f>
        <v>0</v>
      </c>
      <c r="P52" s="32" t="e">
        <f t="shared" ref="P52:P60" si="74">N52-O52+M52</f>
        <v>#REF!</v>
      </c>
      <c r="Q52" s="31" t="e">
        <f t="shared" si="71"/>
        <v>#REF!</v>
      </c>
      <c r="R52" s="18">
        <f>SUMIFS('Processado 2'!$H:$H,'Processado 2'!$G:$G,'Execução do PA iNOVA'!$C52,'Processado 2'!$A:$A,2021,'Processado 2'!$B:$B,'Execução do PA iNOVA'!Q$5)</f>
        <v>0</v>
      </c>
      <c r="S52" s="32" t="e">
        <f t="shared" ref="S52:S60" si="75">Q52-R52+P52</f>
        <v>#REF!</v>
      </c>
      <c r="T52" s="31" t="e">
        <f t="shared" si="71"/>
        <v>#REF!</v>
      </c>
      <c r="U52" s="18">
        <f>SUMIFS('Processado 2'!$H:$H,'Processado 2'!$G:$G,'Execução do PA iNOVA'!$C52,'Processado 2'!$A:$A,2021,'Processado 2'!$B:$B,'Execução do PA iNOVA'!T$5)</f>
        <v>0</v>
      </c>
      <c r="V52" s="32" t="e">
        <f t="shared" ref="V52:V60" si="76">T52-U52+S52</f>
        <v>#REF!</v>
      </c>
      <c r="W52" s="31" t="e">
        <f t="shared" si="71"/>
        <v>#REF!</v>
      </c>
      <c r="X52" s="18">
        <f>SUMIFS('Processado 2'!$H:$H,'Processado 2'!$G:$G,'Execução do PA iNOVA'!$C52,'Processado 2'!$A:$A,2021,'Processado 2'!$B:$B,'Execução do PA iNOVA'!W$5)</f>
        <v>0</v>
      </c>
      <c r="Y52" s="32" t="e">
        <f t="shared" ref="Y52:Y60" si="77">W52-X52+V52</f>
        <v>#REF!</v>
      </c>
      <c r="Z52" s="31" t="e">
        <f t="shared" si="71"/>
        <v>#REF!</v>
      </c>
      <c r="AA52" s="18">
        <f>SUMIFS('Processado 2'!$H:$H,'Processado 2'!$G:$G,'Execução do PA iNOVA'!$C52,'Processado 2'!$A:$A,2021,'Processado 2'!$B:$B,'Execução do PA iNOVA'!Z$5)</f>
        <v>0</v>
      </c>
      <c r="AB52" s="32" t="e">
        <f t="shared" ref="AB52:AB60" si="78">Z52-AA52+Y52</f>
        <v>#REF!</v>
      </c>
      <c r="AC52" s="31" t="e">
        <f t="shared" si="71"/>
        <v>#REF!</v>
      </c>
      <c r="AD52" s="18">
        <f>SUMIFS('Processado 2'!$H:$H,'Processado 2'!$G:$G,'Execução do PA iNOVA'!$C52,'Processado 2'!$A:$A,2021,'Processado 2'!$B:$B,'Execução do PA iNOVA'!AC$5)</f>
        <v>0</v>
      </c>
      <c r="AE52" s="32" t="e">
        <f t="shared" ref="AE52:AE60" si="79">AC52-AD52+AB52</f>
        <v>#REF!</v>
      </c>
      <c r="AF52" s="31" t="e">
        <f t="shared" si="71"/>
        <v>#REF!</v>
      </c>
      <c r="AG52" s="18">
        <f>SUMIFS('Processado 2'!$H:$H,'Processado 2'!$G:$G,'Execução do PA iNOVA'!$C52,'Processado 2'!$A:$A,2021,'Processado 2'!$B:$B,'Execução do PA iNOVA'!AF$5)</f>
        <v>0</v>
      </c>
      <c r="AH52" s="32" t="e">
        <f t="shared" ref="AH52:AH60" si="80">AF52-AG52+AE52</f>
        <v>#REF!</v>
      </c>
      <c r="AI52" s="31" t="e">
        <f t="shared" si="71"/>
        <v>#REF!</v>
      </c>
      <c r="AJ52" s="18">
        <f>SUMIFS('Processado 2'!$H:$H,'Processado 2'!$G:$G,'Execução do PA iNOVA'!$C52,'Processado 2'!$A:$A,2021,'Processado 2'!$B:$B,'Execução do PA iNOVA'!AI$5)</f>
        <v>0</v>
      </c>
      <c r="AK52" s="32" t="e">
        <f t="shared" ref="AK52:AK60" si="81">AI52-AJ52+AH52</f>
        <v>#REF!</v>
      </c>
      <c r="AL52" s="31" t="e">
        <f t="shared" si="71"/>
        <v>#REF!</v>
      </c>
      <c r="AM52" s="18">
        <f>SUMIFS('Processado 2'!$H:$H,'Processado 2'!$G:$G,'Execução do PA iNOVA'!$C52,'Processado 2'!$A:$A,2021,'Processado 2'!$B:$B,'Execução do PA iNOVA'!AL$5)</f>
        <v>0</v>
      </c>
      <c r="AN52" s="32" t="e">
        <f t="shared" ref="AN52:AN60" si="82">AL52-AM52+AK52</f>
        <v>#REF!</v>
      </c>
      <c r="AO52" s="17" t="e">
        <f t="shared" si="68"/>
        <v>#REF!</v>
      </c>
      <c r="AP52" s="18">
        <f t="shared" si="69"/>
        <v>0</v>
      </c>
      <c r="AQ52" s="32" t="e">
        <f t="shared" ref="AQ52:AQ60" si="83">AO52-AP52</f>
        <v>#REF!</v>
      </c>
    </row>
    <row r="53" spans="2:43" x14ac:dyDescent="0.35">
      <c r="C53" t="s">
        <v>177</v>
      </c>
      <c r="D53" s="16">
        <v>8.3736631468638495E-2</v>
      </c>
      <c r="E53" s="17" t="e">
        <f t="shared" si="70"/>
        <v>#REF!</v>
      </c>
      <c r="F53" s="18">
        <f>SUMIFS('Processado 2'!$H:$H,'Processado 2'!$G:$G,'Execução do PA iNOVA'!$C53,'Processado 2'!$A:$A,2020,'Processado 2'!$B:$B,'Execução do PA iNOVA'!E$5)</f>
        <v>0</v>
      </c>
      <c r="G53" s="27" t="e">
        <f t="shared" si="72"/>
        <v>#REF!</v>
      </c>
      <c r="H53" s="31" t="e">
        <f t="shared" si="71"/>
        <v>#REF!</v>
      </c>
      <c r="I53" s="18">
        <f>SUMIFS('Processado 2'!$H:$H,'Processado 2'!$G:$G,'Execução do PA iNOVA'!$C53,'Processado 2'!$A:$A,2021,'Processado 2'!$B:$B,'Execução do PA iNOVA'!H$5)</f>
        <v>0</v>
      </c>
      <c r="J53" s="32" t="e">
        <f t="shared" si="67"/>
        <v>#REF!</v>
      </c>
      <c r="K53" s="31" t="e">
        <f t="shared" si="71"/>
        <v>#REF!</v>
      </c>
      <c r="L53" s="18">
        <f>SUMIFS('Processado 2'!$H:$H,'Processado 2'!$G:$G,'Execução do PA iNOVA'!$C53,'Processado 2'!$A:$A,2021,'Processado 2'!$B:$B,'Execução do PA iNOVA'!K$5)</f>
        <v>0</v>
      </c>
      <c r="M53" s="32" t="e">
        <f t="shared" si="73"/>
        <v>#REF!</v>
      </c>
      <c r="N53" s="31" t="e">
        <f t="shared" si="71"/>
        <v>#REF!</v>
      </c>
      <c r="O53" s="18">
        <f>SUMIFS('Processado 2'!$H:$H,'Processado 2'!$G:$G,'Execução do PA iNOVA'!$C53,'Processado 2'!$A:$A,2021,'Processado 2'!$B:$B,'Execução do PA iNOVA'!N$5)</f>
        <v>0</v>
      </c>
      <c r="P53" s="32" t="e">
        <f t="shared" si="74"/>
        <v>#REF!</v>
      </c>
      <c r="Q53" s="31" t="e">
        <f t="shared" si="71"/>
        <v>#REF!</v>
      </c>
      <c r="R53" s="18">
        <f>SUMIFS('Processado 2'!$H:$H,'Processado 2'!$G:$G,'Execução do PA iNOVA'!$C53,'Processado 2'!$A:$A,2021,'Processado 2'!$B:$B,'Execução do PA iNOVA'!Q$5)</f>
        <v>0</v>
      </c>
      <c r="S53" s="32" t="e">
        <f t="shared" si="75"/>
        <v>#REF!</v>
      </c>
      <c r="T53" s="31" t="e">
        <f t="shared" si="71"/>
        <v>#REF!</v>
      </c>
      <c r="U53" s="18">
        <f>SUMIFS('Processado 2'!$H:$H,'Processado 2'!$G:$G,'Execução do PA iNOVA'!$C53,'Processado 2'!$A:$A,2021,'Processado 2'!$B:$B,'Execução do PA iNOVA'!T$5)</f>
        <v>0</v>
      </c>
      <c r="V53" s="32" t="e">
        <f t="shared" si="76"/>
        <v>#REF!</v>
      </c>
      <c r="W53" s="31" t="e">
        <f t="shared" si="71"/>
        <v>#REF!</v>
      </c>
      <c r="X53" s="18">
        <f>SUMIFS('Processado 2'!$H:$H,'Processado 2'!$G:$G,'Execução do PA iNOVA'!$C53,'Processado 2'!$A:$A,2021,'Processado 2'!$B:$B,'Execução do PA iNOVA'!W$5)</f>
        <v>0</v>
      </c>
      <c r="Y53" s="32" t="e">
        <f t="shared" si="77"/>
        <v>#REF!</v>
      </c>
      <c r="Z53" s="31" t="e">
        <f t="shared" si="71"/>
        <v>#REF!</v>
      </c>
      <c r="AA53" s="18">
        <f>SUMIFS('Processado 2'!$H:$H,'Processado 2'!$G:$G,'Execução do PA iNOVA'!$C53,'Processado 2'!$A:$A,2021,'Processado 2'!$B:$B,'Execução do PA iNOVA'!Z$5)</f>
        <v>0</v>
      </c>
      <c r="AB53" s="32" t="e">
        <f t="shared" si="78"/>
        <v>#REF!</v>
      </c>
      <c r="AC53" s="31" t="e">
        <f t="shared" si="71"/>
        <v>#REF!</v>
      </c>
      <c r="AD53" s="18">
        <f>SUMIFS('Processado 2'!$H:$H,'Processado 2'!$G:$G,'Execução do PA iNOVA'!$C53,'Processado 2'!$A:$A,2021,'Processado 2'!$B:$B,'Execução do PA iNOVA'!AC$5)</f>
        <v>0</v>
      </c>
      <c r="AE53" s="32" t="e">
        <f t="shared" si="79"/>
        <v>#REF!</v>
      </c>
      <c r="AF53" s="31" t="e">
        <f t="shared" si="71"/>
        <v>#REF!</v>
      </c>
      <c r="AG53" s="18">
        <f>SUMIFS('Processado 2'!$H:$H,'Processado 2'!$G:$G,'Execução do PA iNOVA'!$C53,'Processado 2'!$A:$A,2021,'Processado 2'!$B:$B,'Execução do PA iNOVA'!AF$5)</f>
        <v>0</v>
      </c>
      <c r="AH53" s="32" t="e">
        <f t="shared" si="80"/>
        <v>#REF!</v>
      </c>
      <c r="AI53" s="31" t="e">
        <f t="shared" si="71"/>
        <v>#REF!</v>
      </c>
      <c r="AJ53" s="18">
        <f>SUMIFS('Processado 2'!$H:$H,'Processado 2'!$G:$G,'Execução do PA iNOVA'!$C53,'Processado 2'!$A:$A,2021,'Processado 2'!$B:$B,'Execução do PA iNOVA'!AI$5)</f>
        <v>0</v>
      </c>
      <c r="AK53" s="32" t="e">
        <f t="shared" si="81"/>
        <v>#REF!</v>
      </c>
      <c r="AL53" s="31" t="e">
        <f t="shared" si="71"/>
        <v>#REF!</v>
      </c>
      <c r="AM53" s="18">
        <f>SUMIFS('Processado 2'!$H:$H,'Processado 2'!$G:$G,'Execução do PA iNOVA'!$C53,'Processado 2'!$A:$A,2021,'Processado 2'!$B:$B,'Execução do PA iNOVA'!AL$5)</f>
        <v>0</v>
      </c>
      <c r="AN53" s="32" t="e">
        <f t="shared" si="82"/>
        <v>#REF!</v>
      </c>
      <c r="AO53" s="17" t="e">
        <f t="shared" si="68"/>
        <v>#REF!</v>
      </c>
      <c r="AP53" s="18">
        <f t="shared" si="69"/>
        <v>0</v>
      </c>
      <c r="AQ53" s="32" t="e">
        <f t="shared" si="83"/>
        <v>#REF!</v>
      </c>
    </row>
    <row r="54" spans="2:43" x14ac:dyDescent="0.35">
      <c r="C54" t="s">
        <v>34</v>
      </c>
      <c r="D54" s="16">
        <v>1.3404127267194267E-4</v>
      </c>
      <c r="E54" s="17" t="e">
        <f t="shared" si="70"/>
        <v>#REF!</v>
      </c>
      <c r="F54" s="18">
        <f>SUMIFS('Processado 2'!$H:$H,'Processado 2'!$G:$G,'Execução do PA iNOVA'!$C54,'Processado 2'!$A:$A,2020,'Processado 2'!$B:$B,'Execução do PA iNOVA'!E$5)</f>
        <v>0</v>
      </c>
      <c r="G54" s="27" t="e">
        <f t="shared" si="72"/>
        <v>#REF!</v>
      </c>
      <c r="H54" s="31" t="e">
        <f t="shared" si="71"/>
        <v>#REF!</v>
      </c>
      <c r="I54" s="18">
        <f>SUMIFS('Processado 2'!$H:$H,'Processado 2'!$G:$G,'Execução do PA iNOVA'!$C54,'Processado 2'!$A:$A,2021,'Processado 2'!$B:$B,'Execução do PA iNOVA'!H$5)</f>
        <v>0</v>
      </c>
      <c r="J54" s="32" t="e">
        <f t="shared" si="67"/>
        <v>#REF!</v>
      </c>
      <c r="K54" s="31" t="e">
        <f t="shared" si="71"/>
        <v>#REF!</v>
      </c>
      <c r="L54" s="18">
        <f>SUMIFS('Processado 2'!$H:$H,'Processado 2'!$G:$G,'Execução do PA iNOVA'!$C54,'Processado 2'!$A:$A,2021,'Processado 2'!$B:$B,'Execução do PA iNOVA'!K$5)</f>
        <v>0</v>
      </c>
      <c r="M54" s="32" t="e">
        <f t="shared" si="73"/>
        <v>#REF!</v>
      </c>
      <c r="N54" s="31" t="e">
        <f t="shared" si="71"/>
        <v>#REF!</v>
      </c>
      <c r="O54" s="18">
        <f>SUMIFS('Processado 2'!$H:$H,'Processado 2'!$G:$G,'Execução do PA iNOVA'!$C54,'Processado 2'!$A:$A,2021,'Processado 2'!$B:$B,'Execução do PA iNOVA'!N$5)</f>
        <v>0</v>
      </c>
      <c r="P54" s="32" t="e">
        <f t="shared" si="74"/>
        <v>#REF!</v>
      </c>
      <c r="Q54" s="31" t="e">
        <f t="shared" si="71"/>
        <v>#REF!</v>
      </c>
      <c r="R54" s="18">
        <f>SUMIFS('Processado 2'!$H:$H,'Processado 2'!$G:$G,'Execução do PA iNOVA'!$C54,'Processado 2'!$A:$A,2021,'Processado 2'!$B:$B,'Execução do PA iNOVA'!Q$5)</f>
        <v>0</v>
      </c>
      <c r="S54" s="32" t="e">
        <f t="shared" si="75"/>
        <v>#REF!</v>
      </c>
      <c r="T54" s="31" t="e">
        <f t="shared" si="71"/>
        <v>#REF!</v>
      </c>
      <c r="U54" s="18">
        <f>SUMIFS('Processado 2'!$H:$H,'Processado 2'!$G:$G,'Execução do PA iNOVA'!$C54,'Processado 2'!$A:$A,2021,'Processado 2'!$B:$B,'Execução do PA iNOVA'!T$5)</f>
        <v>0</v>
      </c>
      <c r="V54" s="32" t="e">
        <f t="shared" si="76"/>
        <v>#REF!</v>
      </c>
      <c r="W54" s="31" t="e">
        <f t="shared" si="71"/>
        <v>#REF!</v>
      </c>
      <c r="X54" s="18">
        <f>SUMIFS('Processado 2'!$H:$H,'Processado 2'!$G:$G,'Execução do PA iNOVA'!$C54,'Processado 2'!$A:$A,2021,'Processado 2'!$B:$B,'Execução do PA iNOVA'!W$5)</f>
        <v>0</v>
      </c>
      <c r="Y54" s="32" t="e">
        <f t="shared" si="77"/>
        <v>#REF!</v>
      </c>
      <c r="Z54" s="31" t="e">
        <f t="shared" si="71"/>
        <v>#REF!</v>
      </c>
      <c r="AA54" s="18">
        <f>SUMIFS('Processado 2'!$H:$H,'Processado 2'!$G:$G,'Execução do PA iNOVA'!$C54,'Processado 2'!$A:$A,2021,'Processado 2'!$B:$B,'Execução do PA iNOVA'!Z$5)</f>
        <v>0</v>
      </c>
      <c r="AB54" s="32" t="e">
        <f t="shared" si="78"/>
        <v>#REF!</v>
      </c>
      <c r="AC54" s="31" t="e">
        <f t="shared" si="71"/>
        <v>#REF!</v>
      </c>
      <c r="AD54" s="18">
        <f>SUMIFS('Processado 2'!$H:$H,'Processado 2'!$G:$G,'Execução do PA iNOVA'!$C54,'Processado 2'!$A:$A,2021,'Processado 2'!$B:$B,'Execução do PA iNOVA'!AC$5)</f>
        <v>0</v>
      </c>
      <c r="AE54" s="32" t="e">
        <f t="shared" si="79"/>
        <v>#REF!</v>
      </c>
      <c r="AF54" s="31" t="e">
        <f t="shared" si="71"/>
        <v>#REF!</v>
      </c>
      <c r="AG54" s="18">
        <f>SUMIFS('Processado 2'!$H:$H,'Processado 2'!$G:$G,'Execução do PA iNOVA'!$C54,'Processado 2'!$A:$A,2021,'Processado 2'!$B:$B,'Execução do PA iNOVA'!AF$5)</f>
        <v>0</v>
      </c>
      <c r="AH54" s="32" t="e">
        <f t="shared" si="80"/>
        <v>#REF!</v>
      </c>
      <c r="AI54" s="31" t="e">
        <f t="shared" si="71"/>
        <v>#REF!</v>
      </c>
      <c r="AJ54" s="18">
        <f>SUMIFS('Processado 2'!$H:$H,'Processado 2'!$G:$G,'Execução do PA iNOVA'!$C54,'Processado 2'!$A:$A,2021,'Processado 2'!$B:$B,'Execução do PA iNOVA'!AI$5)</f>
        <v>0</v>
      </c>
      <c r="AK54" s="32" t="e">
        <f t="shared" si="81"/>
        <v>#REF!</v>
      </c>
      <c r="AL54" s="31" t="e">
        <f t="shared" si="71"/>
        <v>#REF!</v>
      </c>
      <c r="AM54" s="18">
        <f>SUMIFS('Processado 2'!$H:$H,'Processado 2'!$G:$G,'Execução do PA iNOVA'!$C54,'Processado 2'!$A:$A,2021,'Processado 2'!$B:$B,'Execução do PA iNOVA'!AL$5)</f>
        <v>0</v>
      </c>
      <c r="AN54" s="32" t="e">
        <f t="shared" si="82"/>
        <v>#REF!</v>
      </c>
      <c r="AO54" s="17" t="e">
        <f t="shared" si="68"/>
        <v>#REF!</v>
      </c>
      <c r="AP54" s="18">
        <f t="shared" si="69"/>
        <v>0</v>
      </c>
      <c r="AQ54" s="32" t="e">
        <f t="shared" si="83"/>
        <v>#REF!</v>
      </c>
    </row>
    <row r="55" spans="2:43" x14ac:dyDescent="0.35">
      <c r="C55" t="s">
        <v>35</v>
      </c>
      <c r="D55" s="16">
        <v>0.42658394903446428</v>
      </c>
      <c r="E55" s="17" t="e">
        <f t="shared" si="70"/>
        <v>#REF!</v>
      </c>
      <c r="F55" s="18">
        <f>SUMIFS('Processado 2'!$H:$H,'Processado 2'!$G:$G,'Execução do PA iNOVA'!$C55,'Processado 2'!$A:$A,2020,'Processado 2'!$B:$B,'Execução do PA iNOVA'!E$5)</f>
        <v>0</v>
      </c>
      <c r="G55" s="27" t="e">
        <f t="shared" si="72"/>
        <v>#REF!</v>
      </c>
      <c r="H55" s="31" t="e">
        <f t="shared" si="71"/>
        <v>#REF!</v>
      </c>
      <c r="I55" s="18">
        <f>SUMIFS('Processado 2'!$H:$H,'Processado 2'!$G:$G,'Execução do PA iNOVA'!$C55,'Processado 2'!$A:$A,2021,'Processado 2'!$B:$B,'Execução do PA iNOVA'!H$5)</f>
        <v>0</v>
      </c>
      <c r="J55" s="32" t="e">
        <f t="shared" si="67"/>
        <v>#REF!</v>
      </c>
      <c r="K55" s="31" t="e">
        <f t="shared" si="71"/>
        <v>#REF!</v>
      </c>
      <c r="L55" s="18">
        <f>SUMIFS('Processado 2'!$H:$H,'Processado 2'!$G:$G,'Execução do PA iNOVA'!$C55,'Processado 2'!$A:$A,2021,'Processado 2'!$B:$B,'Execução do PA iNOVA'!K$5)</f>
        <v>0</v>
      </c>
      <c r="M55" s="32" t="e">
        <f t="shared" si="73"/>
        <v>#REF!</v>
      </c>
      <c r="N55" s="31" t="e">
        <f t="shared" si="71"/>
        <v>#REF!</v>
      </c>
      <c r="O55" s="18">
        <f>SUMIFS('Processado 2'!$H:$H,'Processado 2'!$G:$G,'Execução do PA iNOVA'!$C55,'Processado 2'!$A:$A,2021,'Processado 2'!$B:$B,'Execução do PA iNOVA'!N$5)</f>
        <v>0</v>
      </c>
      <c r="P55" s="32" t="e">
        <f t="shared" si="74"/>
        <v>#REF!</v>
      </c>
      <c r="Q55" s="31" t="e">
        <f t="shared" si="71"/>
        <v>#REF!</v>
      </c>
      <c r="R55" s="18">
        <f>SUMIFS('Processado 2'!$H:$H,'Processado 2'!$G:$G,'Execução do PA iNOVA'!$C55,'Processado 2'!$A:$A,2021,'Processado 2'!$B:$B,'Execução do PA iNOVA'!Q$5)</f>
        <v>0</v>
      </c>
      <c r="S55" s="32" t="e">
        <f t="shared" si="75"/>
        <v>#REF!</v>
      </c>
      <c r="T55" s="31" t="e">
        <f t="shared" si="71"/>
        <v>#REF!</v>
      </c>
      <c r="U55" s="18">
        <f>SUMIFS('Processado 2'!$H:$H,'Processado 2'!$G:$G,'Execução do PA iNOVA'!$C55,'Processado 2'!$A:$A,2021,'Processado 2'!$B:$B,'Execução do PA iNOVA'!T$5)</f>
        <v>0</v>
      </c>
      <c r="V55" s="32" t="e">
        <f t="shared" si="76"/>
        <v>#REF!</v>
      </c>
      <c r="W55" s="31" t="e">
        <f t="shared" si="71"/>
        <v>#REF!</v>
      </c>
      <c r="X55" s="18">
        <f>SUMIFS('Processado 2'!$H:$H,'Processado 2'!$G:$G,'Execução do PA iNOVA'!$C55,'Processado 2'!$A:$A,2021,'Processado 2'!$B:$B,'Execução do PA iNOVA'!W$5)</f>
        <v>0</v>
      </c>
      <c r="Y55" s="32" t="e">
        <f t="shared" si="77"/>
        <v>#REF!</v>
      </c>
      <c r="Z55" s="31" t="e">
        <f t="shared" si="71"/>
        <v>#REF!</v>
      </c>
      <c r="AA55" s="18">
        <f>SUMIFS('Processado 2'!$H:$H,'Processado 2'!$G:$G,'Execução do PA iNOVA'!$C55,'Processado 2'!$A:$A,2021,'Processado 2'!$B:$B,'Execução do PA iNOVA'!Z$5)</f>
        <v>0</v>
      </c>
      <c r="AB55" s="32" t="e">
        <f t="shared" si="78"/>
        <v>#REF!</v>
      </c>
      <c r="AC55" s="31" t="e">
        <f t="shared" si="71"/>
        <v>#REF!</v>
      </c>
      <c r="AD55" s="18">
        <f>SUMIFS('Processado 2'!$H:$H,'Processado 2'!$G:$G,'Execução do PA iNOVA'!$C55,'Processado 2'!$A:$A,2021,'Processado 2'!$B:$B,'Execução do PA iNOVA'!AC$5)</f>
        <v>0</v>
      </c>
      <c r="AE55" s="32" t="e">
        <f t="shared" si="79"/>
        <v>#REF!</v>
      </c>
      <c r="AF55" s="31" t="e">
        <f t="shared" si="71"/>
        <v>#REF!</v>
      </c>
      <c r="AG55" s="18">
        <f>SUMIFS('Processado 2'!$H:$H,'Processado 2'!$G:$G,'Execução do PA iNOVA'!$C55,'Processado 2'!$A:$A,2021,'Processado 2'!$B:$B,'Execução do PA iNOVA'!AF$5)</f>
        <v>0</v>
      </c>
      <c r="AH55" s="32" t="e">
        <f t="shared" si="80"/>
        <v>#REF!</v>
      </c>
      <c r="AI55" s="31" t="e">
        <f t="shared" si="71"/>
        <v>#REF!</v>
      </c>
      <c r="AJ55" s="18">
        <f>SUMIFS('Processado 2'!$H:$H,'Processado 2'!$G:$G,'Execução do PA iNOVA'!$C55,'Processado 2'!$A:$A,2021,'Processado 2'!$B:$B,'Execução do PA iNOVA'!AI$5)</f>
        <v>0</v>
      </c>
      <c r="AK55" s="32" t="e">
        <f t="shared" si="81"/>
        <v>#REF!</v>
      </c>
      <c r="AL55" s="31" t="e">
        <f t="shared" si="71"/>
        <v>#REF!</v>
      </c>
      <c r="AM55" s="18">
        <f>SUMIFS('Processado 2'!$H:$H,'Processado 2'!$G:$G,'Execução do PA iNOVA'!$C55,'Processado 2'!$A:$A,2021,'Processado 2'!$B:$B,'Execução do PA iNOVA'!AL$5)</f>
        <v>0</v>
      </c>
      <c r="AN55" s="32" t="e">
        <f t="shared" si="82"/>
        <v>#REF!</v>
      </c>
      <c r="AO55" s="17" t="e">
        <f t="shared" si="68"/>
        <v>#REF!</v>
      </c>
      <c r="AP55" s="18">
        <f t="shared" si="69"/>
        <v>0</v>
      </c>
      <c r="AQ55" s="32" t="e">
        <f t="shared" si="83"/>
        <v>#REF!</v>
      </c>
    </row>
    <row r="56" spans="2:43" x14ac:dyDescent="0.35">
      <c r="C56" t="s">
        <v>36</v>
      </c>
      <c r="D56" s="16">
        <v>5.8939830259331421E-3</v>
      </c>
      <c r="E56" s="17" t="e">
        <f t="shared" si="70"/>
        <v>#REF!</v>
      </c>
      <c r="F56" s="18">
        <f>SUMIFS('Processado 2'!$H:$H,'Processado 2'!$G:$G,'Execução do PA iNOVA'!$C56,'Processado 2'!$A:$A,2020,'Processado 2'!$B:$B,'Execução do PA iNOVA'!E$5)</f>
        <v>0</v>
      </c>
      <c r="G56" s="27" t="e">
        <f t="shared" si="72"/>
        <v>#REF!</v>
      </c>
      <c r="H56" s="31" t="e">
        <f t="shared" si="71"/>
        <v>#REF!</v>
      </c>
      <c r="I56" s="18">
        <f>SUMIFS('Processado 2'!$H:$H,'Processado 2'!$G:$G,'Execução do PA iNOVA'!$C56,'Processado 2'!$A:$A,2021,'Processado 2'!$B:$B,'Execução do PA iNOVA'!H$5)</f>
        <v>0</v>
      </c>
      <c r="J56" s="32" t="e">
        <f t="shared" si="67"/>
        <v>#REF!</v>
      </c>
      <c r="K56" s="31" t="e">
        <f t="shared" si="71"/>
        <v>#REF!</v>
      </c>
      <c r="L56" s="18">
        <f>SUMIFS('Processado 2'!$H:$H,'Processado 2'!$G:$G,'Execução do PA iNOVA'!$C56,'Processado 2'!$A:$A,2021,'Processado 2'!$B:$B,'Execução do PA iNOVA'!K$5)</f>
        <v>0</v>
      </c>
      <c r="M56" s="32" t="e">
        <f t="shared" si="73"/>
        <v>#REF!</v>
      </c>
      <c r="N56" s="31" t="e">
        <f t="shared" si="71"/>
        <v>#REF!</v>
      </c>
      <c r="O56" s="18">
        <f>SUMIFS('Processado 2'!$H:$H,'Processado 2'!$G:$G,'Execução do PA iNOVA'!$C56,'Processado 2'!$A:$A,2021,'Processado 2'!$B:$B,'Execução do PA iNOVA'!N$5)</f>
        <v>0</v>
      </c>
      <c r="P56" s="32" t="e">
        <f t="shared" si="74"/>
        <v>#REF!</v>
      </c>
      <c r="Q56" s="31" t="e">
        <f t="shared" si="71"/>
        <v>#REF!</v>
      </c>
      <c r="R56" s="18">
        <f>SUMIFS('Processado 2'!$H:$H,'Processado 2'!$G:$G,'Execução do PA iNOVA'!$C56,'Processado 2'!$A:$A,2021,'Processado 2'!$B:$B,'Execução do PA iNOVA'!Q$5)</f>
        <v>0</v>
      </c>
      <c r="S56" s="32" t="e">
        <f t="shared" si="75"/>
        <v>#REF!</v>
      </c>
      <c r="T56" s="31" t="e">
        <f t="shared" si="71"/>
        <v>#REF!</v>
      </c>
      <c r="U56" s="18">
        <f>SUMIFS('Processado 2'!$H:$H,'Processado 2'!$G:$G,'Execução do PA iNOVA'!$C56,'Processado 2'!$A:$A,2021,'Processado 2'!$B:$B,'Execução do PA iNOVA'!T$5)</f>
        <v>0</v>
      </c>
      <c r="V56" s="32" t="e">
        <f t="shared" si="76"/>
        <v>#REF!</v>
      </c>
      <c r="W56" s="31" t="e">
        <f t="shared" si="71"/>
        <v>#REF!</v>
      </c>
      <c r="X56" s="18">
        <f>SUMIFS('Processado 2'!$H:$H,'Processado 2'!$G:$G,'Execução do PA iNOVA'!$C56,'Processado 2'!$A:$A,2021,'Processado 2'!$B:$B,'Execução do PA iNOVA'!W$5)</f>
        <v>0</v>
      </c>
      <c r="Y56" s="32" t="e">
        <f t="shared" si="77"/>
        <v>#REF!</v>
      </c>
      <c r="Z56" s="31" t="e">
        <f t="shared" si="71"/>
        <v>#REF!</v>
      </c>
      <c r="AA56" s="18">
        <f>SUMIFS('Processado 2'!$H:$H,'Processado 2'!$G:$G,'Execução do PA iNOVA'!$C56,'Processado 2'!$A:$A,2021,'Processado 2'!$B:$B,'Execução do PA iNOVA'!Z$5)</f>
        <v>0</v>
      </c>
      <c r="AB56" s="32" t="e">
        <f t="shared" si="78"/>
        <v>#REF!</v>
      </c>
      <c r="AC56" s="31" t="e">
        <f t="shared" si="71"/>
        <v>#REF!</v>
      </c>
      <c r="AD56" s="18">
        <f>SUMIFS('Processado 2'!$H:$H,'Processado 2'!$G:$G,'Execução do PA iNOVA'!$C56,'Processado 2'!$A:$A,2021,'Processado 2'!$B:$B,'Execução do PA iNOVA'!AC$5)</f>
        <v>0</v>
      </c>
      <c r="AE56" s="32" t="e">
        <f t="shared" si="79"/>
        <v>#REF!</v>
      </c>
      <c r="AF56" s="31" t="e">
        <f t="shared" si="71"/>
        <v>#REF!</v>
      </c>
      <c r="AG56" s="18">
        <f>SUMIFS('Processado 2'!$H:$H,'Processado 2'!$G:$G,'Execução do PA iNOVA'!$C56,'Processado 2'!$A:$A,2021,'Processado 2'!$B:$B,'Execução do PA iNOVA'!AF$5)</f>
        <v>0</v>
      </c>
      <c r="AH56" s="32" t="e">
        <f t="shared" si="80"/>
        <v>#REF!</v>
      </c>
      <c r="AI56" s="31" t="e">
        <f t="shared" si="71"/>
        <v>#REF!</v>
      </c>
      <c r="AJ56" s="18">
        <f>SUMIFS('Processado 2'!$H:$H,'Processado 2'!$G:$G,'Execução do PA iNOVA'!$C56,'Processado 2'!$A:$A,2021,'Processado 2'!$B:$B,'Execução do PA iNOVA'!AI$5)</f>
        <v>0</v>
      </c>
      <c r="AK56" s="32" t="e">
        <f t="shared" si="81"/>
        <v>#REF!</v>
      </c>
      <c r="AL56" s="31" t="e">
        <f t="shared" si="71"/>
        <v>#REF!</v>
      </c>
      <c r="AM56" s="18">
        <f>SUMIFS('Processado 2'!$H:$H,'Processado 2'!$G:$G,'Execução do PA iNOVA'!$C56,'Processado 2'!$A:$A,2021,'Processado 2'!$B:$B,'Execução do PA iNOVA'!AL$5)</f>
        <v>0</v>
      </c>
      <c r="AN56" s="32" t="e">
        <f t="shared" si="82"/>
        <v>#REF!</v>
      </c>
      <c r="AO56" s="17" t="e">
        <f t="shared" si="68"/>
        <v>#REF!</v>
      </c>
      <c r="AP56" s="18">
        <f t="shared" si="69"/>
        <v>0</v>
      </c>
      <c r="AQ56" s="32" t="e">
        <f t="shared" si="83"/>
        <v>#REF!</v>
      </c>
    </row>
    <row r="57" spans="2:43" x14ac:dyDescent="0.35">
      <c r="C57" t="s">
        <v>37</v>
      </c>
      <c r="D57" s="16">
        <v>1.9358761432486118E-2</v>
      </c>
      <c r="E57" s="17" t="e">
        <f t="shared" si="70"/>
        <v>#REF!</v>
      </c>
      <c r="F57" s="18">
        <f>SUMIFS('Processado 2'!$H:$H,'Processado 2'!$G:$G,'Execução do PA iNOVA'!$C57,'Processado 2'!$A:$A,2020,'Processado 2'!$B:$B,'Execução do PA iNOVA'!E$5)</f>
        <v>0</v>
      </c>
      <c r="G57" s="27" t="e">
        <f t="shared" si="72"/>
        <v>#REF!</v>
      </c>
      <c r="H57" s="31" t="e">
        <f t="shared" si="71"/>
        <v>#REF!</v>
      </c>
      <c r="I57" s="18">
        <f>SUMIFS('Processado 2'!$H:$H,'Processado 2'!$G:$G,'Execução do PA iNOVA'!$C57,'Processado 2'!$A:$A,2021,'Processado 2'!$B:$B,'Execução do PA iNOVA'!H$5)</f>
        <v>0</v>
      </c>
      <c r="J57" s="32" t="e">
        <f t="shared" si="67"/>
        <v>#REF!</v>
      </c>
      <c r="K57" s="31" t="e">
        <f t="shared" si="71"/>
        <v>#REF!</v>
      </c>
      <c r="L57" s="18">
        <f>SUMIFS('Processado 2'!$H:$H,'Processado 2'!$G:$G,'Execução do PA iNOVA'!$C57,'Processado 2'!$A:$A,2021,'Processado 2'!$B:$B,'Execução do PA iNOVA'!K$5)</f>
        <v>0</v>
      </c>
      <c r="M57" s="32" t="e">
        <f t="shared" si="73"/>
        <v>#REF!</v>
      </c>
      <c r="N57" s="31" t="e">
        <f t="shared" si="71"/>
        <v>#REF!</v>
      </c>
      <c r="O57" s="18">
        <f>SUMIFS('Processado 2'!$H:$H,'Processado 2'!$G:$G,'Execução do PA iNOVA'!$C57,'Processado 2'!$A:$A,2021,'Processado 2'!$B:$B,'Execução do PA iNOVA'!N$5)</f>
        <v>0</v>
      </c>
      <c r="P57" s="32" t="e">
        <f t="shared" si="74"/>
        <v>#REF!</v>
      </c>
      <c r="Q57" s="31" t="e">
        <f t="shared" si="71"/>
        <v>#REF!</v>
      </c>
      <c r="R57" s="18">
        <f>SUMIFS('Processado 2'!$H:$H,'Processado 2'!$G:$G,'Execução do PA iNOVA'!$C57,'Processado 2'!$A:$A,2021,'Processado 2'!$B:$B,'Execução do PA iNOVA'!Q$5)</f>
        <v>0</v>
      </c>
      <c r="S57" s="32" t="e">
        <f t="shared" si="75"/>
        <v>#REF!</v>
      </c>
      <c r="T57" s="31" t="e">
        <f t="shared" si="71"/>
        <v>#REF!</v>
      </c>
      <c r="U57" s="18">
        <f>SUMIFS('Processado 2'!$H:$H,'Processado 2'!$G:$G,'Execução do PA iNOVA'!$C57,'Processado 2'!$A:$A,2021,'Processado 2'!$B:$B,'Execução do PA iNOVA'!T$5)</f>
        <v>0</v>
      </c>
      <c r="V57" s="32" t="e">
        <f t="shared" si="76"/>
        <v>#REF!</v>
      </c>
      <c r="W57" s="31" t="e">
        <f t="shared" si="71"/>
        <v>#REF!</v>
      </c>
      <c r="X57" s="18">
        <f>SUMIFS('Processado 2'!$H:$H,'Processado 2'!$G:$G,'Execução do PA iNOVA'!$C57,'Processado 2'!$A:$A,2021,'Processado 2'!$B:$B,'Execução do PA iNOVA'!W$5)</f>
        <v>0</v>
      </c>
      <c r="Y57" s="32" t="e">
        <f t="shared" si="77"/>
        <v>#REF!</v>
      </c>
      <c r="Z57" s="31" t="e">
        <f t="shared" si="71"/>
        <v>#REF!</v>
      </c>
      <c r="AA57" s="18">
        <f>SUMIFS('Processado 2'!$H:$H,'Processado 2'!$G:$G,'Execução do PA iNOVA'!$C57,'Processado 2'!$A:$A,2021,'Processado 2'!$B:$B,'Execução do PA iNOVA'!Z$5)</f>
        <v>0</v>
      </c>
      <c r="AB57" s="32" t="e">
        <f t="shared" si="78"/>
        <v>#REF!</v>
      </c>
      <c r="AC57" s="31" t="e">
        <f t="shared" si="71"/>
        <v>#REF!</v>
      </c>
      <c r="AD57" s="18">
        <f>SUMIFS('Processado 2'!$H:$H,'Processado 2'!$G:$G,'Execução do PA iNOVA'!$C57,'Processado 2'!$A:$A,2021,'Processado 2'!$B:$B,'Execução do PA iNOVA'!AC$5)</f>
        <v>0</v>
      </c>
      <c r="AE57" s="32" t="e">
        <f t="shared" si="79"/>
        <v>#REF!</v>
      </c>
      <c r="AF57" s="31" t="e">
        <f t="shared" si="71"/>
        <v>#REF!</v>
      </c>
      <c r="AG57" s="18">
        <f>SUMIFS('Processado 2'!$H:$H,'Processado 2'!$G:$G,'Execução do PA iNOVA'!$C57,'Processado 2'!$A:$A,2021,'Processado 2'!$B:$B,'Execução do PA iNOVA'!AF$5)</f>
        <v>0</v>
      </c>
      <c r="AH57" s="32" t="e">
        <f t="shared" si="80"/>
        <v>#REF!</v>
      </c>
      <c r="AI57" s="31" t="e">
        <f t="shared" si="71"/>
        <v>#REF!</v>
      </c>
      <c r="AJ57" s="18">
        <f>SUMIFS('Processado 2'!$H:$H,'Processado 2'!$G:$G,'Execução do PA iNOVA'!$C57,'Processado 2'!$A:$A,2021,'Processado 2'!$B:$B,'Execução do PA iNOVA'!AI$5)</f>
        <v>0</v>
      </c>
      <c r="AK57" s="32" t="e">
        <f t="shared" si="81"/>
        <v>#REF!</v>
      </c>
      <c r="AL57" s="31" t="e">
        <f t="shared" si="71"/>
        <v>#REF!</v>
      </c>
      <c r="AM57" s="18">
        <f>SUMIFS('Processado 2'!$H:$H,'Processado 2'!$G:$G,'Execução do PA iNOVA'!$C57,'Processado 2'!$A:$A,2021,'Processado 2'!$B:$B,'Execução do PA iNOVA'!AL$5)</f>
        <v>0</v>
      </c>
      <c r="AN57" s="32" t="e">
        <f t="shared" si="82"/>
        <v>#REF!</v>
      </c>
      <c r="AO57" s="17" t="e">
        <f t="shared" si="68"/>
        <v>#REF!</v>
      </c>
      <c r="AP57" s="18">
        <f t="shared" si="69"/>
        <v>0</v>
      </c>
      <c r="AQ57" s="32" t="e">
        <f t="shared" si="83"/>
        <v>#REF!</v>
      </c>
    </row>
    <row r="58" spans="2:43" x14ac:dyDescent="0.35">
      <c r="C58" t="s">
        <v>38</v>
      </c>
      <c r="D58" s="16">
        <v>0</v>
      </c>
      <c r="E58" s="17" t="e">
        <f t="shared" si="70"/>
        <v>#REF!</v>
      </c>
      <c r="F58" s="18">
        <f>SUMIFS('Processado 2'!$H:$H,'Processado 2'!$G:$G,'Execução do PA iNOVA'!$C58,'Processado 2'!$A:$A,2020,'Processado 2'!$B:$B,'Execução do PA iNOVA'!E$5)</f>
        <v>0</v>
      </c>
      <c r="G58" s="27" t="e">
        <f t="shared" si="72"/>
        <v>#REF!</v>
      </c>
      <c r="H58" s="31" t="e">
        <f t="shared" si="71"/>
        <v>#REF!</v>
      </c>
      <c r="I58" s="18">
        <f>SUMIFS('Processado 2'!$H:$H,'Processado 2'!$G:$G,'Execução do PA iNOVA'!$C58,'Processado 2'!$A:$A,2021,'Processado 2'!$B:$B,'Execução do PA iNOVA'!H$5)</f>
        <v>0</v>
      </c>
      <c r="J58" s="32" t="e">
        <f t="shared" si="67"/>
        <v>#REF!</v>
      </c>
      <c r="K58" s="31" t="e">
        <f t="shared" si="71"/>
        <v>#REF!</v>
      </c>
      <c r="L58" s="18">
        <f>SUMIFS('Processado 2'!$H:$H,'Processado 2'!$G:$G,'Execução do PA iNOVA'!$C58,'Processado 2'!$A:$A,2021,'Processado 2'!$B:$B,'Execução do PA iNOVA'!K$5)</f>
        <v>0</v>
      </c>
      <c r="M58" s="32" t="e">
        <f t="shared" si="73"/>
        <v>#REF!</v>
      </c>
      <c r="N58" s="31" t="e">
        <f t="shared" si="71"/>
        <v>#REF!</v>
      </c>
      <c r="O58" s="18">
        <f>SUMIFS('Processado 2'!$H:$H,'Processado 2'!$G:$G,'Execução do PA iNOVA'!$C58,'Processado 2'!$A:$A,2021,'Processado 2'!$B:$B,'Execução do PA iNOVA'!N$5)</f>
        <v>0</v>
      </c>
      <c r="P58" s="32" t="e">
        <f t="shared" si="74"/>
        <v>#REF!</v>
      </c>
      <c r="Q58" s="31" t="e">
        <f t="shared" si="71"/>
        <v>#REF!</v>
      </c>
      <c r="R58" s="18">
        <f>SUMIFS('Processado 2'!$H:$H,'Processado 2'!$G:$G,'Execução do PA iNOVA'!$C58,'Processado 2'!$A:$A,2021,'Processado 2'!$B:$B,'Execução do PA iNOVA'!Q$5)</f>
        <v>0</v>
      </c>
      <c r="S58" s="32" t="e">
        <f t="shared" si="75"/>
        <v>#REF!</v>
      </c>
      <c r="T58" s="31" t="e">
        <f t="shared" si="71"/>
        <v>#REF!</v>
      </c>
      <c r="U58" s="18">
        <f>SUMIFS('Processado 2'!$H:$H,'Processado 2'!$G:$G,'Execução do PA iNOVA'!$C58,'Processado 2'!$A:$A,2021,'Processado 2'!$B:$B,'Execução do PA iNOVA'!T$5)</f>
        <v>0</v>
      </c>
      <c r="V58" s="32" t="e">
        <f t="shared" si="76"/>
        <v>#REF!</v>
      </c>
      <c r="W58" s="31" t="e">
        <f t="shared" si="71"/>
        <v>#REF!</v>
      </c>
      <c r="X58" s="18">
        <f>SUMIFS('Processado 2'!$H:$H,'Processado 2'!$G:$G,'Execução do PA iNOVA'!$C58,'Processado 2'!$A:$A,2021,'Processado 2'!$B:$B,'Execução do PA iNOVA'!W$5)</f>
        <v>0</v>
      </c>
      <c r="Y58" s="32" t="e">
        <f t="shared" si="77"/>
        <v>#REF!</v>
      </c>
      <c r="Z58" s="31" t="e">
        <f t="shared" si="71"/>
        <v>#REF!</v>
      </c>
      <c r="AA58" s="18">
        <f>SUMIFS('Processado 2'!$H:$H,'Processado 2'!$G:$G,'Execução do PA iNOVA'!$C58,'Processado 2'!$A:$A,2021,'Processado 2'!$B:$B,'Execução do PA iNOVA'!Z$5)</f>
        <v>0</v>
      </c>
      <c r="AB58" s="32" t="e">
        <f t="shared" si="78"/>
        <v>#REF!</v>
      </c>
      <c r="AC58" s="31" t="e">
        <f t="shared" si="71"/>
        <v>#REF!</v>
      </c>
      <c r="AD58" s="18">
        <f>SUMIFS('Processado 2'!$H:$H,'Processado 2'!$G:$G,'Execução do PA iNOVA'!$C58,'Processado 2'!$A:$A,2021,'Processado 2'!$B:$B,'Execução do PA iNOVA'!AC$5)</f>
        <v>0</v>
      </c>
      <c r="AE58" s="32" t="e">
        <f t="shared" si="79"/>
        <v>#REF!</v>
      </c>
      <c r="AF58" s="31" t="e">
        <f t="shared" si="71"/>
        <v>#REF!</v>
      </c>
      <c r="AG58" s="18">
        <f>SUMIFS('Processado 2'!$H:$H,'Processado 2'!$G:$G,'Execução do PA iNOVA'!$C58,'Processado 2'!$A:$A,2021,'Processado 2'!$B:$B,'Execução do PA iNOVA'!AF$5)</f>
        <v>0</v>
      </c>
      <c r="AH58" s="32" t="e">
        <f t="shared" si="80"/>
        <v>#REF!</v>
      </c>
      <c r="AI58" s="31" t="e">
        <f t="shared" si="71"/>
        <v>#REF!</v>
      </c>
      <c r="AJ58" s="18">
        <f>SUMIFS('Processado 2'!$H:$H,'Processado 2'!$G:$G,'Execução do PA iNOVA'!$C58,'Processado 2'!$A:$A,2021,'Processado 2'!$B:$B,'Execução do PA iNOVA'!AI$5)</f>
        <v>0</v>
      </c>
      <c r="AK58" s="32" t="e">
        <f t="shared" si="81"/>
        <v>#REF!</v>
      </c>
      <c r="AL58" s="31" t="e">
        <f t="shared" si="71"/>
        <v>#REF!</v>
      </c>
      <c r="AM58" s="18">
        <f>SUMIFS('Processado 2'!$H:$H,'Processado 2'!$G:$G,'Execução do PA iNOVA'!$C58,'Processado 2'!$A:$A,2021,'Processado 2'!$B:$B,'Execução do PA iNOVA'!AL$5)</f>
        <v>0</v>
      </c>
      <c r="AN58" s="32" t="e">
        <f t="shared" si="82"/>
        <v>#REF!</v>
      </c>
      <c r="AO58" s="17" t="e">
        <f t="shared" si="68"/>
        <v>#REF!</v>
      </c>
      <c r="AP58" s="18">
        <f t="shared" si="69"/>
        <v>0</v>
      </c>
      <c r="AQ58" s="32" t="e">
        <f t="shared" si="83"/>
        <v>#REF!</v>
      </c>
    </row>
    <row r="59" spans="2:43" x14ac:dyDescent="0.35">
      <c r="C59" t="s">
        <v>40</v>
      </c>
      <c r="D59" s="16">
        <v>3.4762798016080943E-4</v>
      </c>
      <c r="E59" s="17" t="e">
        <f t="shared" si="70"/>
        <v>#REF!</v>
      </c>
      <c r="F59" s="18">
        <f>SUMIFS('Processado 2'!$H:$H,'Processado 2'!$G:$G,'Execução do PA iNOVA'!$C59,'Processado 2'!$A:$A,2020,'Processado 2'!$B:$B,'Execução do PA iNOVA'!E$5)</f>
        <v>0</v>
      </c>
      <c r="G59" s="27" t="e">
        <f t="shared" si="72"/>
        <v>#REF!</v>
      </c>
      <c r="H59" s="31" t="e">
        <f t="shared" si="71"/>
        <v>#REF!</v>
      </c>
      <c r="I59" s="18">
        <f>SUMIFS('Processado 2'!$H:$H,'Processado 2'!$G:$G,'Execução do PA iNOVA'!$C59,'Processado 2'!$A:$A,2021,'Processado 2'!$B:$B,'Execução do PA iNOVA'!H$5)</f>
        <v>0</v>
      </c>
      <c r="J59" s="32" t="e">
        <f t="shared" si="67"/>
        <v>#REF!</v>
      </c>
      <c r="K59" s="31" t="e">
        <f t="shared" si="71"/>
        <v>#REF!</v>
      </c>
      <c r="L59" s="18">
        <f>SUMIFS('Processado 2'!$H:$H,'Processado 2'!$G:$G,'Execução do PA iNOVA'!$C59,'Processado 2'!$A:$A,2021,'Processado 2'!$B:$B,'Execução do PA iNOVA'!K$5)</f>
        <v>0</v>
      </c>
      <c r="M59" s="32" t="e">
        <f t="shared" si="73"/>
        <v>#REF!</v>
      </c>
      <c r="N59" s="31" t="e">
        <f t="shared" si="71"/>
        <v>#REF!</v>
      </c>
      <c r="O59" s="18">
        <f>SUMIFS('Processado 2'!$H:$H,'Processado 2'!$G:$G,'Execução do PA iNOVA'!$C59,'Processado 2'!$A:$A,2021,'Processado 2'!$B:$B,'Execução do PA iNOVA'!N$5)</f>
        <v>0</v>
      </c>
      <c r="P59" s="32" t="e">
        <f t="shared" si="74"/>
        <v>#REF!</v>
      </c>
      <c r="Q59" s="31" t="e">
        <f t="shared" si="71"/>
        <v>#REF!</v>
      </c>
      <c r="R59" s="18">
        <f>SUMIFS('Processado 2'!$H:$H,'Processado 2'!$G:$G,'Execução do PA iNOVA'!$C59,'Processado 2'!$A:$A,2021,'Processado 2'!$B:$B,'Execução do PA iNOVA'!Q$5)</f>
        <v>0</v>
      </c>
      <c r="S59" s="32" t="e">
        <f t="shared" si="75"/>
        <v>#REF!</v>
      </c>
      <c r="T59" s="31" t="e">
        <f t="shared" si="71"/>
        <v>#REF!</v>
      </c>
      <c r="U59" s="18">
        <f>SUMIFS('Processado 2'!$H:$H,'Processado 2'!$G:$G,'Execução do PA iNOVA'!$C59,'Processado 2'!$A:$A,2021,'Processado 2'!$B:$B,'Execução do PA iNOVA'!T$5)</f>
        <v>0</v>
      </c>
      <c r="V59" s="32" t="e">
        <f t="shared" si="76"/>
        <v>#REF!</v>
      </c>
      <c r="W59" s="31" t="e">
        <f t="shared" si="71"/>
        <v>#REF!</v>
      </c>
      <c r="X59" s="18">
        <f>SUMIFS('Processado 2'!$H:$H,'Processado 2'!$G:$G,'Execução do PA iNOVA'!$C59,'Processado 2'!$A:$A,2021,'Processado 2'!$B:$B,'Execução do PA iNOVA'!W$5)</f>
        <v>0</v>
      </c>
      <c r="Y59" s="32" t="e">
        <f t="shared" si="77"/>
        <v>#REF!</v>
      </c>
      <c r="Z59" s="31" t="e">
        <f t="shared" si="71"/>
        <v>#REF!</v>
      </c>
      <c r="AA59" s="18">
        <f>SUMIFS('Processado 2'!$H:$H,'Processado 2'!$G:$G,'Execução do PA iNOVA'!$C59,'Processado 2'!$A:$A,2021,'Processado 2'!$B:$B,'Execução do PA iNOVA'!Z$5)</f>
        <v>0</v>
      </c>
      <c r="AB59" s="32" t="e">
        <f t="shared" si="78"/>
        <v>#REF!</v>
      </c>
      <c r="AC59" s="31" t="e">
        <f t="shared" si="71"/>
        <v>#REF!</v>
      </c>
      <c r="AD59" s="18">
        <f>SUMIFS('Processado 2'!$H:$H,'Processado 2'!$G:$G,'Execução do PA iNOVA'!$C59,'Processado 2'!$A:$A,2021,'Processado 2'!$B:$B,'Execução do PA iNOVA'!AC$5)</f>
        <v>0</v>
      </c>
      <c r="AE59" s="32" t="e">
        <f t="shared" si="79"/>
        <v>#REF!</v>
      </c>
      <c r="AF59" s="31" t="e">
        <f t="shared" si="71"/>
        <v>#REF!</v>
      </c>
      <c r="AG59" s="18">
        <f>SUMIFS('Processado 2'!$H:$H,'Processado 2'!$G:$G,'Execução do PA iNOVA'!$C59,'Processado 2'!$A:$A,2021,'Processado 2'!$B:$B,'Execução do PA iNOVA'!AF$5)</f>
        <v>0</v>
      </c>
      <c r="AH59" s="32" t="e">
        <f t="shared" si="80"/>
        <v>#REF!</v>
      </c>
      <c r="AI59" s="31" t="e">
        <f t="shared" si="71"/>
        <v>#REF!</v>
      </c>
      <c r="AJ59" s="18">
        <f>SUMIFS('Processado 2'!$H:$H,'Processado 2'!$G:$G,'Execução do PA iNOVA'!$C59,'Processado 2'!$A:$A,2021,'Processado 2'!$B:$B,'Execução do PA iNOVA'!AI$5)</f>
        <v>0</v>
      </c>
      <c r="AK59" s="32" t="e">
        <f t="shared" si="81"/>
        <v>#REF!</v>
      </c>
      <c r="AL59" s="31" t="e">
        <f t="shared" si="71"/>
        <v>#REF!</v>
      </c>
      <c r="AM59" s="18">
        <f>SUMIFS('Processado 2'!$H:$H,'Processado 2'!$G:$G,'Execução do PA iNOVA'!$C59,'Processado 2'!$A:$A,2021,'Processado 2'!$B:$B,'Execução do PA iNOVA'!AL$5)</f>
        <v>0</v>
      </c>
      <c r="AN59" s="32" t="e">
        <f t="shared" si="82"/>
        <v>#REF!</v>
      </c>
      <c r="AO59" s="17" t="e">
        <f t="shared" si="68"/>
        <v>#REF!</v>
      </c>
      <c r="AP59" s="18">
        <f t="shared" si="69"/>
        <v>0</v>
      </c>
      <c r="AQ59" s="32" t="e">
        <f t="shared" si="83"/>
        <v>#REF!</v>
      </c>
    </row>
    <row r="60" spans="2:43" x14ac:dyDescent="0.35">
      <c r="C60" t="s">
        <v>178</v>
      </c>
      <c r="D60" s="16">
        <v>2.3840407146363666E-3</v>
      </c>
      <c r="E60" s="17" t="e">
        <f t="shared" si="70"/>
        <v>#REF!</v>
      </c>
      <c r="F60" s="18">
        <f>SUMIFS('Processado 2'!$H:$H,'Processado 2'!$G:$G,'Execução do PA iNOVA'!$C60,'Processado 2'!$A:$A,2020,'Processado 2'!$B:$B,'Execução do PA iNOVA'!E$5)</f>
        <v>0</v>
      </c>
      <c r="G60" s="27" t="e">
        <f t="shared" si="72"/>
        <v>#REF!</v>
      </c>
      <c r="H60" s="31" t="e">
        <f t="shared" si="71"/>
        <v>#REF!</v>
      </c>
      <c r="I60" s="18">
        <f>SUMIFS('Processado 2'!$H:$H,'Processado 2'!$G:$G,'Execução do PA iNOVA'!$C60,'Processado 2'!$A:$A,2021,'Processado 2'!$B:$B,'Execução do PA iNOVA'!H$5)</f>
        <v>0</v>
      </c>
      <c r="J60" s="32" t="e">
        <f t="shared" si="67"/>
        <v>#REF!</v>
      </c>
      <c r="K60" s="31" t="e">
        <f t="shared" si="71"/>
        <v>#REF!</v>
      </c>
      <c r="L60" s="18">
        <f>SUMIFS('Processado 2'!$H:$H,'Processado 2'!$G:$G,'Execução do PA iNOVA'!$C60,'Processado 2'!$A:$A,2021,'Processado 2'!$B:$B,'Execução do PA iNOVA'!K$5)</f>
        <v>0</v>
      </c>
      <c r="M60" s="32" t="e">
        <f t="shared" si="73"/>
        <v>#REF!</v>
      </c>
      <c r="N60" s="31" t="e">
        <f t="shared" si="71"/>
        <v>#REF!</v>
      </c>
      <c r="O60" s="18">
        <f>SUMIFS('Processado 2'!$H:$H,'Processado 2'!$G:$G,'Execução do PA iNOVA'!$C60,'Processado 2'!$A:$A,2021,'Processado 2'!$B:$B,'Execução do PA iNOVA'!N$5)</f>
        <v>0</v>
      </c>
      <c r="P60" s="32" t="e">
        <f t="shared" si="74"/>
        <v>#REF!</v>
      </c>
      <c r="Q60" s="31" t="e">
        <f t="shared" si="71"/>
        <v>#REF!</v>
      </c>
      <c r="R60" s="18">
        <f>SUMIFS('Processado 2'!$H:$H,'Processado 2'!$G:$G,'Execução do PA iNOVA'!$C60,'Processado 2'!$A:$A,2021,'Processado 2'!$B:$B,'Execução do PA iNOVA'!Q$5)</f>
        <v>0</v>
      </c>
      <c r="S60" s="32" t="e">
        <f t="shared" si="75"/>
        <v>#REF!</v>
      </c>
      <c r="T60" s="31" t="e">
        <f t="shared" si="71"/>
        <v>#REF!</v>
      </c>
      <c r="U60" s="18">
        <f>SUMIFS('Processado 2'!$H:$H,'Processado 2'!$G:$G,'Execução do PA iNOVA'!$C60,'Processado 2'!$A:$A,2021,'Processado 2'!$B:$B,'Execução do PA iNOVA'!T$5)</f>
        <v>0</v>
      </c>
      <c r="V60" s="32" t="e">
        <f t="shared" si="76"/>
        <v>#REF!</v>
      </c>
      <c r="W60" s="31" t="e">
        <f t="shared" si="71"/>
        <v>#REF!</v>
      </c>
      <c r="X60" s="18">
        <f>SUMIFS('Processado 2'!$H:$H,'Processado 2'!$G:$G,'Execução do PA iNOVA'!$C60,'Processado 2'!$A:$A,2021,'Processado 2'!$B:$B,'Execução do PA iNOVA'!W$5)</f>
        <v>0</v>
      </c>
      <c r="Y60" s="32" t="e">
        <f t="shared" si="77"/>
        <v>#REF!</v>
      </c>
      <c r="Z60" s="31" t="e">
        <f t="shared" si="71"/>
        <v>#REF!</v>
      </c>
      <c r="AA60" s="18">
        <f>SUMIFS('Processado 2'!$H:$H,'Processado 2'!$G:$G,'Execução do PA iNOVA'!$C60,'Processado 2'!$A:$A,2021,'Processado 2'!$B:$B,'Execução do PA iNOVA'!Z$5)</f>
        <v>0</v>
      </c>
      <c r="AB60" s="32" t="e">
        <f t="shared" si="78"/>
        <v>#REF!</v>
      </c>
      <c r="AC60" s="31" t="e">
        <f t="shared" si="71"/>
        <v>#REF!</v>
      </c>
      <c r="AD60" s="18">
        <f>SUMIFS('Processado 2'!$H:$H,'Processado 2'!$G:$G,'Execução do PA iNOVA'!$C60,'Processado 2'!$A:$A,2021,'Processado 2'!$B:$B,'Execução do PA iNOVA'!AC$5)</f>
        <v>0</v>
      </c>
      <c r="AE60" s="32" t="e">
        <f t="shared" si="79"/>
        <v>#REF!</v>
      </c>
      <c r="AF60" s="31" t="e">
        <f t="shared" si="71"/>
        <v>#REF!</v>
      </c>
      <c r="AG60" s="18">
        <f>SUMIFS('Processado 2'!$H:$H,'Processado 2'!$G:$G,'Execução do PA iNOVA'!$C60,'Processado 2'!$A:$A,2021,'Processado 2'!$B:$B,'Execução do PA iNOVA'!AF$5)</f>
        <v>0</v>
      </c>
      <c r="AH60" s="32" t="e">
        <f t="shared" si="80"/>
        <v>#REF!</v>
      </c>
      <c r="AI60" s="31" t="e">
        <f t="shared" si="71"/>
        <v>#REF!</v>
      </c>
      <c r="AJ60" s="18">
        <f>SUMIFS('Processado 2'!$H:$H,'Processado 2'!$G:$G,'Execução do PA iNOVA'!$C60,'Processado 2'!$A:$A,2021,'Processado 2'!$B:$B,'Execução do PA iNOVA'!AI$5)</f>
        <v>0</v>
      </c>
      <c r="AK60" s="32" t="e">
        <f t="shared" si="81"/>
        <v>#REF!</v>
      </c>
      <c r="AL60" s="31" t="e">
        <f t="shared" si="71"/>
        <v>#REF!</v>
      </c>
      <c r="AM60" s="18">
        <f>SUMIFS('Processado 2'!$H:$H,'Processado 2'!$G:$G,'Execução do PA iNOVA'!$C60,'Processado 2'!$A:$A,2021,'Processado 2'!$B:$B,'Execução do PA iNOVA'!AL$5)</f>
        <v>0</v>
      </c>
      <c r="AN60" s="32" t="e">
        <f t="shared" si="82"/>
        <v>#REF!</v>
      </c>
      <c r="AO60" s="17" t="e">
        <f t="shared" si="68"/>
        <v>#REF!</v>
      </c>
      <c r="AP60" s="18">
        <f t="shared" si="69"/>
        <v>0</v>
      </c>
      <c r="AQ60" s="32" t="e">
        <f t="shared" si="83"/>
        <v>#REF!</v>
      </c>
    </row>
    <row r="61" spans="2:43" x14ac:dyDescent="0.35">
      <c r="D61" s="19"/>
      <c r="E61" s="20"/>
      <c r="H61" s="33"/>
      <c r="J61" s="34"/>
      <c r="K61" s="33"/>
      <c r="M61" s="34"/>
      <c r="N61" s="33"/>
      <c r="P61" s="34"/>
      <c r="Q61" s="33"/>
      <c r="S61" s="34"/>
      <c r="T61" s="33"/>
      <c r="V61" s="34"/>
      <c r="W61" s="33"/>
      <c r="Y61" s="34"/>
      <c r="Z61" s="33"/>
      <c r="AB61" s="34"/>
      <c r="AC61" s="33"/>
      <c r="AE61" s="34"/>
      <c r="AF61" s="33"/>
      <c r="AH61" s="34"/>
      <c r="AI61" s="33"/>
      <c r="AK61" s="34"/>
      <c r="AL61" s="33"/>
      <c r="AN61" s="34"/>
      <c r="AO61" s="20"/>
      <c r="AQ61" s="34"/>
    </row>
    <row r="62" spans="2:43" s="13" customFormat="1" x14ac:dyDescent="0.35">
      <c r="B62" s="21" t="s">
        <v>7</v>
      </c>
      <c r="C62" s="21"/>
      <c r="D62" s="22"/>
      <c r="E62" s="23" t="e">
        <f t="shared" ref="E62:J62" si="84">SUM(E50,E40,E27,E21,E8)</f>
        <v>#REF!</v>
      </c>
      <c r="F62" s="24">
        <f t="shared" si="84"/>
        <v>0</v>
      </c>
      <c r="G62" s="26" t="e">
        <f t="shared" si="84"/>
        <v>#REF!</v>
      </c>
      <c r="H62" s="29" t="e">
        <f t="shared" si="84"/>
        <v>#REF!</v>
      </c>
      <c r="I62" s="24">
        <f t="shared" si="84"/>
        <v>0</v>
      </c>
      <c r="J62" s="30" t="e">
        <f t="shared" si="84"/>
        <v>#REF!</v>
      </c>
      <c r="K62" s="29" t="e">
        <f t="shared" ref="K62:AP62" si="85">SUM(K50,K40,K27,K21,K8)</f>
        <v>#REF!</v>
      </c>
      <c r="L62" s="24">
        <f t="shared" si="85"/>
        <v>0</v>
      </c>
      <c r="M62" s="30" t="e">
        <f t="shared" si="85"/>
        <v>#REF!</v>
      </c>
      <c r="N62" s="29" t="e">
        <f t="shared" si="85"/>
        <v>#REF!</v>
      </c>
      <c r="O62" s="24">
        <f t="shared" si="85"/>
        <v>0</v>
      </c>
      <c r="P62" s="30" t="e">
        <f t="shared" si="85"/>
        <v>#REF!</v>
      </c>
      <c r="Q62" s="29" t="e">
        <f t="shared" si="85"/>
        <v>#REF!</v>
      </c>
      <c r="R62" s="24">
        <f t="shared" si="85"/>
        <v>0</v>
      </c>
      <c r="S62" s="30" t="e">
        <f t="shared" si="85"/>
        <v>#REF!</v>
      </c>
      <c r="T62" s="29" t="e">
        <f t="shared" si="85"/>
        <v>#REF!</v>
      </c>
      <c r="U62" s="24">
        <f t="shared" si="85"/>
        <v>0</v>
      </c>
      <c r="V62" s="30" t="e">
        <f t="shared" si="85"/>
        <v>#REF!</v>
      </c>
      <c r="W62" s="29" t="e">
        <f t="shared" si="85"/>
        <v>#REF!</v>
      </c>
      <c r="X62" s="24">
        <f t="shared" si="85"/>
        <v>0</v>
      </c>
      <c r="Y62" s="30" t="e">
        <f t="shared" si="85"/>
        <v>#REF!</v>
      </c>
      <c r="Z62" s="29" t="e">
        <f t="shared" si="85"/>
        <v>#REF!</v>
      </c>
      <c r="AA62" s="24">
        <f t="shared" si="85"/>
        <v>0</v>
      </c>
      <c r="AB62" s="30" t="e">
        <f t="shared" si="85"/>
        <v>#REF!</v>
      </c>
      <c r="AC62" s="29" t="e">
        <f t="shared" si="85"/>
        <v>#REF!</v>
      </c>
      <c r="AD62" s="24">
        <f t="shared" si="85"/>
        <v>0</v>
      </c>
      <c r="AE62" s="30" t="e">
        <f t="shared" si="85"/>
        <v>#REF!</v>
      </c>
      <c r="AF62" s="29" t="e">
        <f t="shared" si="85"/>
        <v>#REF!</v>
      </c>
      <c r="AG62" s="24">
        <f t="shared" si="85"/>
        <v>0</v>
      </c>
      <c r="AH62" s="30" t="e">
        <f t="shared" si="85"/>
        <v>#REF!</v>
      </c>
      <c r="AI62" s="29" t="e">
        <f t="shared" si="85"/>
        <v>#REF!</v>
      </c>
      <c r="AJ62" s="24">
        <f t="shared" si="85"/>
        <v>0</v>
      </c>
      <c r="AK62" s="30" t="e">
        <f t="shared" si="85"/>
        <v>#REF!</v>
      </c>
      <c r="AL62" s="29" t="e">
        <f t="shared" si="85"/>
        <v>#REF!</v>
      </c>
      <c r="AM62" s="24">
        <f t="shared" si="85"/>
        <v>0</v>
      </c>
      <c r="AN62" s="30" t="e">
        <f t="shared" si="85"/>
        <v>#REF!</v>
      </c>
      <c r="AO62" s="29" t="e">
        <f t="shared" si="85"/>
        <v>#REF!</v>
      </c>
      <c r="AP62" s="24">
        <f t="shared" si="85"/>
        <v>0</v>
      </c>
      <c r="AQ62" s="30" t="e">
        <f>SUM(AQ50,AQ40,AQ27,AQ21,AQ8)</f>
        <v>#REF!</v>
      </c>
    </row>
    <row r="63" spans="2:43" x14ac:dyDescent="0.3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Q63" s="4"/>
    </row>
  </sheetData>
  <mergeCells count="13">
    <mergeCell ref="E5:G5"/>
    <mergeCell ref="H5:J5"/>
    <mergeCell ref="K5:M5"/>
    <mergeCell ref="N5:P5"/>
    <mergeCell ref="Q5:S5"/>
    <mergeCell ref="AI5:AK5"/>
    <mergeCell ref="AL5:AN5"/>
    <mergeCell ref="AO5:AQ5"/>
    <mergeCell ref="T5:V5"/>
    <mergeCell ref="W5:Y5"/>
    <mergeCell ref="Z5:AB5"/>
    <mergeCell ref="AC5:AE5"/>
    <mergeCell ref="AF5:AH5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2:P240"/>
  <sheetViews>
    <sheetView topLeftCell="A130" workbookViewId="0">
      <selection activeCell="D143" sqref="D143"/>
    </sheetView>
  </sheetViews>
  <sheetFormatPr defaultRowHeight="14.5" x14ac:dyDescent="0.35"/>
  <cols>
    <col min="3" max="4" width="30.7265625" customWidth="1"/>
    <col min="5" max="5" width="18.1796875" style="4" bestFit="1" customWidth="1"/>
    <col min="6" max="6" width="19" style="4" bestFit="1" customWidth="1"/>
    <col min="7" max="7" width="17.453125" style="4" bestFit="1" customWidth="1"/>
    <col min="8" max="8" width="17.453125" style="4" customWidth="1"/>
    <col min="9" max="9" width="12.81640625" style="4" bestFit="1" customWidth="1"/>
    <col min="11" max="11" width="10.453125" customWidth="1"/>
    <col min="12" max="12" width="38.81640625" bestFit="1" customWidth="1"/>
    <col min="13" max="13" width="10.453125" customWidth="1"/>
    <col min="14" max="14" width="13.1796875" bestFit="1" customWidth="1"/>
    <col min="15" max="15" width="11.453125" style="4" bestFit="1" customWidth="1"/>
  </cols>
  <sheetData>
    <row r="2" spans="1:16" x14ac:dyDescent="0.35">
      <c r="C2" s="1" t="s">
        <v>3245</v>
      </c>
      <c r="F2" s="5" t="s">
        <v>3246</v>
      </c>
    </row>
    <row r="3" spans="1:16" x14ac:dyDescent="0.35">
      <c r="C3" s="1" t="s">
        <v>3247</v>
      </c>
      <c r="F3" s="5" t="s">
        <v>3248</v>
      </c>
    </row>
    <row r="4" spans="1:16" x14ac:dyDescent="0.35">
      <c r="C4" s="1" t="s">
        <v>3249</v>
      </c>
      <c r="G4" s="5"/>
      <c r="H4" s="5"/>
    </row>
    <row r="5" spans="1:16" x14ac:dyDescent="0.35">
      <c r="D5" s="1"/>
    </row>
    <row r="6" spans="1:16" x14ac:dyDescent="0.35">
      <c r="E6" s="5"/>
    </row>
    <row r="7" spans="1:16" x14ac:dyDescent="0.35">
      <c r="A7" s="8" t="s">
        <v>85</v>
      </c>
      <c r="B7" t="s">
        <v>86</v>
      </c>
      <c r="C7" s="7" t="s">
        <v>88</v>
      </c>
      <c r="D7" s="7" t="s">
        <v>193</v>
      </c>
      <c r="E7" s="8" t="s">
        <v>3250</v>
      </c>
      <c r="F7" s="8" t="s">
        <v>3251</v>
      </c>
      <c r="G7" s="8" t="s">
        <v>3252</v>
      </c>
      <c r="H7" s="7" t="s">
        <v>3253</v>
      </c>
      <c r="I7" s="8" t="s">
        <v>3254</v>
      </c>
      <c r="J7" s="8" t="s">
        <v>3255</v>
      </c>
      <c r="K7" s="8" t="s">
        <v>89</v>
      </c>
      <c r="L7" s="8" t="s">
        <v>9</v>
      </c>
      <c r="M7" s="8" t="s">
        <v>87</v>
      </c>
      <c r="N7" s="8" t="s">
        <v>90</v>
      </c>
      <c r="O7" s="8" t="s">
        <v>3256</v>
      </c>
      <c r="P7" s="8" t="s">
        <v>8</v>
      </c>
    </row>
    <row r="8" spans="1:16" x14ac:dyDescent="0.35">
      <c r="A8">
        <v>2020</v>
      </c>
      <c r="B8" t="s">
        <v>55</v>
      </c>
      <c r="C8" s="56">
        <v>1</v>
      </c>
      <c r="D8" s="49" t="s">
        <v>194</v>
      </c>
      <c r="E8" s="50">
        <v>0</v>
      </c>
      <c r="F8" s="50">
        <v>104530426.79000001</v>
      </c>
      <c r="G8" s="50">
        <v>30879684.5</v>
      </c>
      <c r="H8" s="50">
        <f>F8-G8</f>
        <v>73650742.290000007</v>
      </c>
      <c r="I8" s="50">
        <v>73650742.290000007</v>
      </c>
      <c r="J8" s="49" t="s">
        <v>57</v>
      </c>
      <c r="K8">
        <f t="shared" ref="K8:K71" si="0">LEN(C8)</f>
        <v>1</v>
      </c>
      <c r="L8" t="str">
        <f>IF(Tabela1[[#This Row],[Tam Conta]]=17,VLOOKUP(Tabela1[[#This Row],[Conta]],Tabela!$A:$C,3,FALSE),"")</f>
        <v/>
      </c>
      <c r="M8" s="11">
        <f>VLOOKUP(Tabela1[[#This Row],[ANO]]&amp;Tabela1[[#This Row],[Meses]],Tabela!$O:$P,2,FALSE)</f>
        <v>44166</v>
      </c>
      <c r="N8" t="str">
        <f t="shared" ref="N8:N71" si="1">IF(K8&gt;=13,MID(C8,1,13),"")</f>
        <v/>
      </c>
      <c r="O8" s="5" t="str">
        <f>IF(Tabela1[[#This Row],[Contas]]="","",IF(Tabela1[[#This Row],[Contas]]="1.01.01.03.01",Tabela1[[#This Row],[Valor Débito]],Tabela1[[#This Row],[Movimento]]))</f>
        <v/>
      </c>
      <c r="P8" s="2" t="str">
        <f>IF(Tabela1[[#This Row],[Contas]]="","",IF(Tabela1[[#This Row],[Tam Conta]]=13,Tabela1[[#This Row],[Descrição Original]],P7))</f>
        <v/>
      </c>
    </row>
    <row r="9" spans="1:16" x14ac:dyDescent="0.35">
      <c r="A9">
        <v>2020</v>
      </c>
      <c r="B9" t="s">
        <v>55</v>
      </c>
      <c r="C9" s="57" t="s">
        <v>198</v>
      </c>
      <c r="D9" s="49" t="s">
        <v>199</v>
      </c>
      <c r="E9" s="50">
        <v>0</v>
      </c>
      <c r="F9" s="50">
        <v>104530426.79000001</v>
      </c>
      <c r="G9" s="50">
        <v>30879684.5</v>
      </c>
      <c r="H9" s="50">
        <f t="shared" ref="H9:H72" si="2">F9-G9</f>
        <v>73650742.290000007</v>
      </c>
      <c r="I9" s="50">
        <v>73650742.290000007</v>
      </c>
      <c r="J9" s="49" t="s">
        <v>57</v>
      </c>
      <c r="K9">
        <f t="shared" si="0"/>
        <v>4</v>
      </c>
      <c r="L9" t="str">
        <f>IF(Tabela1[[#This Row],[Tam Conta]]=17,VLOOKUP(Tabela1[[#This Row],[Conta]],Tabela!$A:$C,3,FALSE),"")</f>
        <v/>
      </c>
      <c r="M9" s="11">
        <f>VLOOKUP(Tabela1[[#This Row],[ANO]]&amp;Tabela1[[#This Row],[Meses]],Tabela!$O:$P,2,FALSE)</f>
        <v>44166</v>
      </c>
      <c r="N9" t="str">
        <f t="shared" si="1"/>
        <v/>
      </c>
      <c r="O9" s="5" t="str">
        <f>IF(Tabela1[[#This Row],[Contas]]="","",IF(Tabela1[[#This Row],[Contas]]="1.01.01.03.01",Tabela1[[#This Row],[Valor Débito]],Tabela1[[#This Row],[Movimento]]))</f>
        <v/>
      </c>
      <c r="P9" s="2" t="str">
        <f>IF(Tabela1[[#This Row],[Contas]]="","",IF(Tabela1[[#This Row],[Tam Conta]]=13,Tabela1[[#This Row],[Descrição Original]],P8))</f>
        <v/>
      </c>
    </row>
    <row r="10" spans="1:16" x14ac:dyDescent="0.35">
      <c r="A10">
        <v>2020</v>
      </c>
      <c r="B10" t="s">
        <v>55</v>
      </c>
      <c r="C10" s="57" t="s">
        <v>200</v>
      </c>
      <c r="D10" s="49" t="s">
        <v>201</v>
      </c>
      <c r="E10" s="50">
        <v>0</v>
      </c>
      <c r="F10" s="50">
        <v>104530426.79000001</v>
      </c>
      <c r="G10" s="50">
        <v>30879684.5</v>
      </c>
      <c r="H10" s="50">
        <f t="shared" si="2"/>
        <v>73650742.290000007</v>
      </c>
      <c r="I10" s="50">
        <v>73650742.290000007</v>
      </c>
      <c r="J10" s="49" t="s">
        <v>57</v>
      </c>
      <c r="K10">
        <f t="shared" si="0"/>
        <v>7</v>
      </c>
      <c r="L10" t="str">
        <f>IF(Tabela1[[#This Row],[Tam Conta]]=17,VLOOKUP(Tabela1[[#This Row],[Conta]],Tabela!$A:$C,3,FALSE),"")</f>
        <v/>
      </c>
      <c r="M10" s="11">
        <f>VLOOKUP(Tabela1[[#This Row],[ANO]]&amp;Tabela1[[#This Row],[Meses]],Tabela!$O:$P,2,FALSE)</f>
        <v>44166</v>
      </c>
      <c r="N10" t="str">
        <f t="shared" si="1"/>
        <v/>
      </c>
      <c r="O10" s="5" t="str">
        <f>IF(Tabela1[[#This Row],[Contas]]="","",IF(Tabela1[[#This Row],[Contas]]="1.01.01.03.01",Tabela1[[#This Row],[Valor Débito]],Tabela1[[#This Row],[Movimento]]))</f>
        <v/>
      </c>
      <c r="P10" s="2" t="str">
        <f>IF(Tabela1[[#This Row],[Contas]]="","",IF(Tabela1[[#This Row],[Tam Conta]]=13,Tabela1[[#This Row],[Descrição Original]],P9))</f>
        <v/>
      </c>
    </row>
    <row r="11" spans="1:16" x14ac:dyDescent="0.35">
      <c r="A11">
        <v>2020</v>
      </c>
      <c r="B11" t="s">
        <v>55</v>
      </c>
      <c r="C11" s="57" t="s">
        <v>202</v>
      </c>
      <c r="D11" s="49" t="s">
        <v>203</v>
      </c>
      <c r="E11" s="50">
        <v>0</v>
      </c>
      <c r="F11" s="50">
        <v>29483148.760000002</v>
      </c>
      <c r="G11" s="50">
        <v>16833091.789999999</v>
      </c>
      <c r="H11" s="50">
        <f t="shared" si="2"/>
        <v>12650056.970000003</v>
      </c>
      <c r="I11" s="50">
        <v>12650056.970000001</v>
      </c>
      <c r="J11" s="49" t="s">
        <v>57</v>
      </c>
      <c r="K11">
        <f t="shared" si="0"/>
        <v>10</v>
      </c>
      <c r="L11" t="str">
        <f>IF(Tabela1[[#This Row],[Tam Conta]]=17,VLOOKUP(Tabela1[[#This Row],[Conta]],Tabela!$A:$C,3,FALSE),"")</f>
        <v/>
      </c>
      <c r="M11" s="11">
        <f>VLOOKUP(Tabela1[[#This Row],[ANO]]&amp;Tabela1[[#This Row],[Meses]],Tabela!$O:$P,2,FALSE)</f>
        <v>44166</v>
      </c>
      <c r="N11" t="str">
        <f t="shared" si="1"/>
        <v/>
      </c>
      <c r="O11" s="5" t="str">
        <f>IF(Tabela1[[#This Row],[Contas]]="","",IF(Tabela1[[#This Row],[Contas]]="1.01.01.03.01",Tabela1[[#This Row],[Valor Débito]],Tabela1[[#This Row],[Movimento]]))</f>
        <v/>
      </c>
      <c r="P11" s="2" t="str">
        <f>IF(Tabela1[[#This Row],[Contas]]="","",IF(Tabela1[[#This Row],[Tam Conta]]=13,Tabela1[[#This Row],[Descrição Original]],P10))</f>
        <v/>
      </c>
    </row>
    <row r="12" spans="1:16" x14ac:dyDescent="0.35">
      <c r="A12">
        <v>2020</v>
      </c>
      <c r="B12" t="s">
        <v>55</v>
      </c>
      <c r="C12" s="57" t="s">
        <v>204</v>
      </c>
      <c r="D12" s="49" t="s">
        <v>205</v>
      </c>
      <c r="E12" s="50">
        <v>0</v>
      </c>
      <c r="F12" s="50">
        <v>15428842.060000001</v>
      </c>
      <c r="G12" s="50">
        <v>15428842.060000001</v>
      </c>
      <c r="H12" s="50">
        <f t="shared" si="2"/>
        <v>0</v>
      </c>
      <c r="I12" s="50">
        <v>0</v>
      </c>
      <c r="J12" s="49" t="s">
        <v>57</v>
      </c>
      <c r="K12">
        <f t="shared" si="0"/>
        <v>13</v>
      </c>
      <c r="L12" t="str">
        <f>IF(Tabela1[[#This Row],[Tam Conta]]=17,VLOOKUP(Tabela1[[#This Row],[Conta]],Tabela!$A:$C,3,FALSE),"")</f>
        <v/>
      </c>
      <c r="M12" s="11">
        <f>VLOOKUP(Tabela1[[#This Row],[ANO]]&amp;Tabela1[[#This Row],[Meses]],Tabela!$O:$P,2,FALSE)</f>
        <v>44166</v>
      </c>
      <c r="N12" t="str">
        <f t="shared" si="1"/>
        <v>1.01.01.01.02</v>
      </c>
      <c r="O12" s="5">
        <f>IF(Tabela1[[#This Row],[Contas]]="","",IF(Tabela1[[#This Row],[Contas]]="1.01.01.03.01",Tabela1[[#This Row],[Valor Débito]],Tabela1[[#This Row],[Movimento]]))</f>
        <v>0</v>
      </c>
      <c r="P12" s="2" t="str">
        <f>IF(Tabela1[[#This Row],[Contas]]="","",IF(Tabela1[[#This Row],[Tam Conta]]=13,Tabela1[[#This Row],[Descrição Original]],P11))</f>
        <v>BANCOS C/MOVIMENTO - SAUDE</v>
      </c>
    </row>
    <row r="13" spans="1:16" x14ac:dyDescent="0.35">
      <c r="A13">
        <v>2020</v>
      </c>
      <c r="B13" t="s">
        <v>55</v>
      </c>
      <c r="C13" s="57" t="s">
        <v>207</v>
      </c>
      <c r="D13" s="49" t="s">
        <v>538</v>
      </c>
      <c r="E13" s="50">
        <v>0</v>
      </c>
      <c r="F13" s="50">
        <v>15428842.060000001</v>
      </c>
      <c r="G13" s="50">
        <v>15428842.060000001</v>
      </c>
      <c r="H13" s="50">
        <f t="shared" si="2"/>
        <v>0</v>
      </c>
      <c r="I13" s="50">
        <v>0</v>
      </c>
      <c r="J13" s="49" t="s">
        <v>57</v>
      </c>
      <c r="K13">
        <f t="shared" si="0"/>
        <v>17</v>
      </c>
      <c r="L13" t="str">
        <f>IF(Tabela1[[#This Row],[Tam Conta]]=17,VLOOKUP(Tabela1[[#This Row],[Conta]],Tabela!$A:$C,3,FALSE),"")</f>
        <v>BANCO DO ESTADO DO ESPIRITO SANTO</v>
      </c>
      <c r="M13" s="11">
        <f>VLOOKUP(Tabela1[[#This Row],[ANO]]&amp;Tabela1[[#This Row],[Meses]],Tabela!$O:$P,2,FALSE)</f>
        <v>44166</v>
      </c>
      <c r="N13" t="str">
        <f t="shared" si="1"/>
        <v>1.01.01.01.02</v>
      </c>
      <c r="O13" s="5">
        <f>IF(Tabela1[[#This Row],[Contas]]="","",IF(Tabela1[[#This Row],[Contas]]="1.01.01.03.01",Tabela1[[#This Row],[Valor Débito]],Tabela1[[#This Row],[Movimento]]))</f>
        <v>0</v>
      </c>
      <c r="P13" s="2" t="str">
        <f>IF(Tabela1[[#This Row],[Contas]]="","",IF(Tabela1[[#This Row],[Tam Conta]]=13,Tabela1[[#This Row],[Descrição Original]],P12))</f>
        <v>BANCOS C/MOVIMENTO - SAUDE</v>
      </c>
    </row>
    <row r="14" spans="1:16" x14ac:dyDescent="0.35">
      <c r="A14">
        <v>2020</v>
      </c>
      <c r="B14" t="s">
        <v>55</v>
      </c>
      <c r="C14" s="57" t="s">
        <v>539</v>
      </c>
      <c r="D14" s="49" t="s">
        <v>540</v>
      </c>
      <c r="E14" s="50">
        <v>0</v>
      </c>
      <c r="F14" s="50">
        <v>14054306.699999999</v>
      </c>
      <c r="G14" s="50">
        <v>1404249.73</v>
      </c>
      <c r="H14" s="50">
        <f t="shared" si="2"/>
        <v>12650056.969999999</v>
      </c>
      <c r="I14" s="50">
        <v>12650056.970000001</v>
      </c>
      <c r="J14" s="49" t="s">
        <v>57</v>
      </c>
      <c r="K14">
        <f t="shared" si="0"/>
        <v>13</v>
      </c>
      <c r="L14" t="str">
        <f>IF(Tabela1[[#This Row],[Tam Conta]]=17,VLOOKUP(Tabela1[[#This Row],[Conta]],Tabela!$A:$C,3,FALSE),"")</f>
        <v/>
      </c>
      <c r="M14" s="11">
        <f>VLOOKUP(Tabela1[[#This Row],[ANO]]&amp;Tabela1[[#This Row],[Meses]],Tabela!$O:$P,2,FALSE)</f>
        <v>44166</v>
      </c>
      <c r="N14" t="str">
        <f t="shared" si="1"/>
        <v>1.01.01.01.03</v>
      </c>
      <c r="O14" s="5">
        <f>IF(Tabela1[[#This Row],[Contas]]="","",IF(Tabela1[[#This Row],[Contas]]="1.01.01.03.01",Tabela1[[#This Row],[Valor Débito]],Tabela1[[#This Row],[Movimento]]))</f>
        <v>12650056.969999999</v>
      </c>
      <c r="P14" s="2" t="str">
        <f>IF(Tabela1[[#This Row],[Contas]]="","",IF(Tabela1[[#This Row],[Tam Conta]]=13,Tabela1[[#This Row],[Descrição Original]],P13))</f>
        <v>APLICACOES FINANCEIRAS DE LIQUIDEZ IMEDIATA</v>
      </c>
    </row>
    <row r="15" spans="1:16" x14ac:dyDescent="0.35">
      <c r="A15">
        <v>2020</v>
      </c>
      <c r="B15" t="s">
        <v>55</v>
      </c>
      <c r="C15" s="57" t="s">
        <v>541</v>
      </c>
      <c r="D15" s="49" t="s">
        <v>538</v>
      </c>
      <c r="E15" s="50">
        <v>0</v>
      </c>
      <c r="F15" s="50">
        <v>14054306.699999999</v>
      </c>
      <c r="G15" s="50">
        <v>1404249.73</v>
      </c>
      <c r="H15" s="50">
        <f t="shared" si="2"/>
        <v>12650056.969999999</v>
      </c>
      <c r="I15" s="50">
        <v>12650056.970000001</v>
      </c>
      <c r="J15" s="49" t="s">
        <v>57</v>
      </c>
      <c r="K15">
        <f t="shared" si="0"/>
        <v>17</v>
      </c>
      <c r="L15" t="str">
        <f>IF(Tabela1[[#This Row],[Tam Conta]]=17,VLOOKUP(Tabela1[[#This Row],[Conta]],Tabela!$A:$C,3,FALSE),"")</f>
        <v>BANCO DO ESTADO DO ESPIRITO SANTO C.C. 3083935-1</v>
      </c>
      <c r="M15" s="11">
        <f>VLOOKUP(Tabela1[[#This Row],[ANO]]&amp;Tabela1[[#This Row],[Meses]],Tabela!$O:$P,2,FALSE)</f>
        <v>44166</v>
      </c>
      <c r="N15" t="str">
        <f t="shared" si="1"/>
        <v>1.01.01.01.03</v>
      </c>
      <c r="O15" s="5">
        <f>IF(Tabela1[[#This Row],[Contas]]="","",IF(Tabela1[[#This Row],[Contas]]="1.01.01.03.01",Tabela1[[#This Row],[Valor Débito]],Tabela1[[#This Row],[Movimento]]))</f>
        <v>12650056.969999999</v>
      </c>
      <c r="P15" s="2" t="str">
        <f>IF(Tabela1[[#This Row],[Contas]]="","",IF(Tabela1[[#This Row],[Tam Conta]]=13,Tabela1[[#This Row],[Descrição Original]],P14))</f>
        <v>APLICACOES FINANCEIRAS DE LIQUIDEZ IMEDIATA</v>
      </c>
    </row>
    <row r="16" spans="1:16" x14ac:dyDescent="0.35">
      <c r="A16">
        <v>2020</v>
      </c>
      <c r="B16" t="s">
        <v>55</v>
      </c>
      <c r="C16" s="57" t="s">
        <v>210</v>
      </c>
      <c r="D16" s="49" t="s">
        <v>211</v>
      </c>
      <c r="E16" s="50">
        <v>0</v>
      </c>
      <c r="F16" s="50">
        <v>75047278.030000001</v>
      </c>
      <c r="G16" s="50">
        <v>14046592.710000001</v>
      </c>
      <c r="H16" s="50">
        <f t="shared" si="2"/>
        <v>61000685.32</v>
      </c>
      <c r="I16" s="50">
        <v>61000685.32</v>
      </c>
      <c r="J16" s="49" t="s">
        <v>57</v>
      </c>
      <c r="K16">
        <f t="shared" si="0"/>
        <v>10</v>
      </c>
      <c r="L16" t="str">
        <f>IF(Tabela1[[#This Row],[Tam Conta]]=17,VLOOKUP(Tabela1[[#This Row],[Conta]],Tabela!$A:$C,3,FALSE),"")</f>
        <v/>
      </c>
      <c r="M16" s="11">
        <f>VLOOKUP(Tabela1[[#This Row],[ANO]]&amp;Tabela1[[#This Row],[Meses]],Tabela!$O:$P,2,FALSE)</f>
        <v>44166</v>
      </c>
      <c r="N16" t="str">
        <f t="shared" si="1"/>
        <v/>
      </c>
      <c r="O16" s="5" t="str">
        <f>IF(Tabela1[[#This Row],[Contas]]="","",IF(Tabela1[[#This Row],[Contas]]="1.01.01.03.01",Tabela1[[#This Row],[Valor Débito]],Tabela1[[#This Row],[Movimento]]))</f>
        <v/>
      </c>
      <c r="P16" s="2" t="str">
        <f>IF(Tabela1[[#This Row],[Contas]]="","",IF(Tabela1[[#This Row],[Tam Conta]]=13,Tabela1[[#This Row],[Descrição Original]],P15))</f>
        <v/>
      </c>
    </row>
    <row r="17" spans="1:16" x14ac:dyDescent="0.35">
      <c r="A17">
        <v>2020</v>
      </c>
      <c r="B17" t="s">
        <v>55</v>
      </c>
      <c r="C17" s="57" t="s">
        <v>216</v>
      </c>
      <c r="D17" s="49" t="s">
        <v>217</v>
      </c>
      <c r="E17" s="50">
        <v>0</v>
      </c>
      <c r="F17" s="50">
        <v>46592.71</v>
      </c>
      <c r="G17" s="50">
        <v>46592.71</v>
      </c>
      <c r="H17" s="50">
        <f t="shared" si="2"/>
        <v>0</v>
      </c>
      <c r="I17" s="50">
        <v>0</v>
      </c>
      <c r="J17" s="49" t="s">
        <v>57</v>
      </c>
      <c r="K17">
        <f t="shared" si="0"/>
        <v>13</v>
      </c>
      <c r="L17" t="str">
        <f>IF(Tabela1[[#This Row],[Tam Conta]]=17,VLOOKUP(Tabela1[[#This Row],[Conta]],Tabela!$A:$C,3,FALSE),"")</f>
        <v/>
      </c>
      <c r="M17" s="11">
        <f>VLOOKUP(Tabela1[[#This Row],[ANO]]&amp;Tabela1[[#This Row],[Meses]],Tabela!$O:$P,2,FALSE)</f>
        <v>44166</v>
      </c>
      <c r="N17" t="str">
        <f t="shared" si="1"/>
        <v>1.01.01.02.06</v>
      </c>
      <c r="O17" s="5">
        <f>IF(Tabela1[[#This Row],[Contas]]="","",IF(Tabela1[[#This Row],[Contas]]="1.01.01.03.01",Tabela1[[#This Row],[Valor Débito]],Tabela1[[#This Row],[Movimento]]))</f>
        <v>0</v>
      </c>
      <c r="P17" s="2" t="str">
        <f>IF(Tabela1[[#This Row],[Contas]]="","",IF(Tabela1[[#This Row],[Tam Conta]]=13,Tabela1[[#This Row],[Descrição Original]],P16))</f>
        <v>CREDITOS DE FUNCIONARIOS</v>
      </c>
    </row>
    <row r="18" spans="1:16" x14ac:dyDescent="0.35">
      <c r="A18">
        <v>2020</v>
      </c>
      <c r="B18" t="s">
        <v>55</v>
      </c>
      <c r="C18" s="57" t="s">
        <v>542</v>
      </c>
      <c r="D18" s="49" t="s">
        <v>543</v>
      </c>
      <c r="E18" s="50">
        <v>0</v>
      </c>
      <c r="F18" s="50">
        <v>46592.71</v>
      </c>
      <c r="G18" s="50">
        <v>46592.71</v>
      </c>
      <c r="H18" s="50">
        <f t="shared" si="2"/>
        <v>0</v>
      </c>
      <c r="I18" s="50">
        <v>0</v>
      </c>
      <c r="J18" s="49" t="s">
        <v>57</v>
      </c>
      <c r="K18">
        <f t="shared" si="0"/>
        <v>17</v>
      </c>
      <c r="L18" t="str">
        <f>IF(Tabela1[[#This Row],[Tam Conta]]=17,VLOOKUP(Tabela1[[#This Row],[Conta]],Tabela!$A:$C,3,FALSE),"")</f>
        <v>ADIANTAMENTO DE 13 SALARIO</v>
      </c>
      <c r="M18" s="11">
        <f>VLOOKUP(Tabela1[[#This Row],[ANO]]&amp;Tabela1[[#This Row],[Meses]],Tabela!$O:$P,2,FALSE)</f>
        <v>44166</v>
      </c>
      <c r="N18" t="str">
        <f t="shared" si="1"/>
        <v>1.01.01.02.06</v>
      </c>
      <c r="O18" s="5">
        <f>IF(Tabela1[[#This Row],[Contas]]="","",IF(Tabela1[[#This Row],[Contas]]="1.01.01.03.01",Tabela1[[#This Row],[Valor Débito]],Tabela1[[#This Row],[Movimento]]))</f>
        <v>0</v>
      </c>
      <c r="P18" s="2" t="str">
        <f>IF(Tabela1[[#This Row],[Contas]]="","",IF(Tabela1[[#This Row],[Tam Conta]]=13,Tabela1[[#This Row],[Descrição Original]],P17))</f>
        <v>CREDITOS DE FUNCIONARIOS</v>
      </c>
    </row>
    <row r="19" spans="1:16" x14ac:dyDescent="0.35">
      <c r="A19">
        <v>2020</v>
      </c>
      <c r="B19" t="s">
        <v>55</v>
      </c>
      <c r="C19" s="57" t="s">
        <v>222</v>
      </c>
      <c r="D19" s="49" t="s">
        <v>223</v>
      </c>
      <c r="E19" s="50">
        <v>0</v>
      </c>
      <c r="F19" s="50">
        <v>75000000</v>
      </c>
      <c r="G19" s="50">
        <v>14000000</v>
      </c>
      <c r="H19" s="50">
        <f t="shared" si="2"/>
        <v>61000000</v>
      </c>
      <c r="I19" s="50">
        <v>61000000</v>
      </c>
      <c r="J19" s="49" t="s">
        <v>57</v>
      </c>
      <c r="K19">
        <f t="shared" si="0"/>
        <v>13</v>
      </c>
      <c r="L19" t="str">
        <f>IF(Tabela1[[#This Row],[Tam Conta]]=17,VLOOKUP(Tabela1[[#This Row],[Conta]],Tabela!$A:$C,3,FALSE),"")</f>
        <v/>
      </c>
      <c r="M19" s="11">
        <f>VLOOKUP(Tabela1[[#This Row],[ANO]]&amp;Tabela1[[#This Row],[Meses]],Tabela!$O:$P,2,FALSE)</f>
        <v>44166</v>
      </c>
      <c r="N19" t="str">
        <f t="shared" si="1"/>
        <v>1.01.01.02.07</v>
      </c>
      <c r="O19" s="5">
        <f>IF(Tabela1[[#This Row],[Contas]]="","",IF(Tabela1[[#This Row],[Contas]]="1.01.01.03.01",Tabela1[[#This Row],[Valor Débito]],Tabela1[[#This Row],[Movimento]]))</f>
        <v>61000000</v>
      </c>
      <c r="P19" s="2" t="str">
        <f>IF(Tabela1[[#This Row],[Contas]]="","",IF(Tabela1[[#This Row],[Tam Conta]]=13,Tabela1[[#This Row],[Descrição Original]],P18))</f>
        <v>OUTROS CREDITOS</v>
      </c>
    </row>
    <row r="20" spans="1:16" x14ac:dyDescent="0.35">
      <c r="A20">
        <v>2020</v>
      </c>
      <c r="B20" t="s">
        <v>55</v>
      </c>
      <c r="C20" s="57" t="s">
        <v>544</v>
      </c>
      <c r="D20" s="49" t="s">
        <v>545</v>
      </c>
      <c r="E20" s="50">
        <v>0</v>
      </c>
      <c r="F20" s="50">
        <v>75000000</v>
      </c>
      <c r="G20" s="50">
        <v>14000000</v>
      </c>
      <c r="H20" s="50">
        <f t="shared" si="2"/>
        <v>61000000</v>
      </c>
      <c r="I20" s="50">
        <v>61000000</v>
      </c>
      <c r="J20" s="49" t="s">
        <v>57</v>
      </c>
      <c r="K20">
        <f t="shared" si="0"/>
        <v>17</v>
      </c>
      <c r="L20" t="str">
        <f>IF(Tabela1[[#This Row],[Tam Conta]]=17,VLOOKUP(Tabela1[[#This Row],[Conta]],Tabela!$A:$C,3,FALSE),"")</f>
        <v>SUBVENÇÕES E ASSITÊNCIA GOVERNAMENTAIS A REALIZAR</v>
      </c>
      <c r="M20" s="11">
        <f>VLOOKUP(Tabela1[[#This Row],[ANO]]&amp;Tabela1[[#This Row],[Meses]],Tabela!$O:$P,2,FALSE)</f>
        <v>44166</v>
      </c>
      <c r="N20" t="str">
        <f t="shared" si="1"/>
        <v>1.01.01.02.07</v>
      </c>
      <c r="O20" s="5">
        <f>IF(Tabela1[[#This Row],[Contas]]="","",IF(Tabela1[[#This Row],[Contas]]="1.01.01.03.01",Tabela1[[#This Row],[Valor Débito]],Tabela1[[#This Row],[Movimento]]))</f>
        <v>61000000</v>
      </c>
      <c r="P20" s="2" t="str">
        <f>IF(Tabela1[[#This Row],[Contas]]="","",IF(Tabela1[[#This Row],[Tam Conta]]=13,Tabela1[[#This Row],[Descrição Original]],P19))</f>
        <v>OUTROS CREDITOS</v>
      </c>
    </row>
    <row r="21" spans="1:16" x14ac:dyDescent="0.35">
      <c r="A21">
        <v>2020</v>
      </c>
      <c r="B21" t="s">
        <v>55</v>
      </c>
      <c r="C21" s="57" t="s">
        <v>546</v>
      </c>
      <c r="D21" s="49" t="s">
        <v>547</v>
      </c>
      <c r="E21" s="50">
        <v>0</v>
      </c>
      <c r="F21" s="50">
        <v>685.32</v>
      </c>
      <c r="G21" s="50">
        <v>0</v>
      </c>
      <c r="H21" s="50">
        <f t="shared" si="2"/>
        <v>685.32</v>
      </c>
      <c r="I21" s="50">
        <v>685.32</v>
      </c>
      <c r="J21" s="49" t="s">
        <v>57</v>
      </c>
      <c r="K21">
        <f t="shared" si="0"/>
        <v>13</v>
      </c>
      <c r="L21" t="str">
        <f>IF(Tabela1[[#This Row],[Tam Conta]]=17,VLOOKUP(Tabela1[[#This Row],[Conta]],Tabela!$A:$C,3,FALSE),"")</f>
        <v/>
      </c>
      <c r="M21" s="11">
        <f>VLOOKUP(Tabela1[[#This Row],[ANO]]&amp;Tabela1[[#This Row],[Meses]],Tabela!$O:$P,2,FALSE)</f>
        <v>44166</v>
      </c>
      <c r="N21" t="str">
        <f t="shared" si="1"/>
        <v>1.01.01.02.11</v>
      </c>
      <c r="O21" s="5">
        <f>IF(Tabela1[[#This Row],[Contas]]="","",IF(Tabela1[[#This Row],[Contas]]="1.01.01.03.01",Tabela1[[#This Row],[Valor Débito]],Tabela1[[#This Row],[Movimento]]))</f>
        <v>685.32</v>
      </c>
      <c r="P21" s="2" t="str">
        <f>IF(Tabela1[[#This Row],[Contas]]="","",IF(Tabela1[[#This Row],[Tam Conta]]=13,Tabela1[[#This Row],[Descrição Original]],P20))</f>
        <v>IMPOSTOS A RECUPERAR</v>
      </c>
    </row>
    <row r="22" spans="1:16" x14ac:dyDescent="0.35">
      <c r="A22">
        <v>2020</v>
      </c>
      <c r="B22" t="s">
        <v>55</v>
      </c>
      <c r="C22" s="57" t="s">
        <v>548</v>
      </c>
      <c r="D22" s="49" t="s">
        <v>549</v>
      </c>
      <c r="E22" s="50">
        <v>0</v>
      </c>
      <c r="F22" s="50">
        <v>251.35</v>
      </c>
      <c r="G22" s="50">
        <v>0</v>
      </c>
      <c r="H22" s="50">
        <f t="shared" si="2"/>
        <v>251.35</v>
      </c>
      <c r="I22" s="50">
        <v>251.35</v>
      </c>
      <c r="J22" s="49" t="s">
        <v>57</v>
      </c>
      <c r="K22">
        <f t="shared" si="0"/>
        <v>17</v>
      </c>
      <c r="L22" t="str">
        <f>IF(Tabela1[[#This Row],[Tam Conta]]=17,VLOOKUP(Tabela1[[#This Row],[Conta]],Tabela!$A:$C,3,FALSE),"")</f>
        <v>IRRF A RECUPERAR</v>
      </c>
      <c r="M22" s="11">
        <f>VLOOKUP(Tabela1[[#This Row],[ANO]]&amp;Tabela1[[#This Row],[Meses]],Tabela!$O:$P,2,FALSE)</f>
        <v>44166</v>
      </c>
      <c r="N22" t="str">
        <f t="shared" si="1"/>
        <v>1.01.01.02.11</v>
      </c>
      <c r="O22" s="5">
        <f>IF(Tabela1[[#This Row],[Contas]]="","",IF(Tabela1[[#This Row],[Contas]]="1.01.01.03.01",Tabela1[[#This Row],[Valor Débito]],Tabela1[[#This Row],[Movimento]]))</f>
        <v>251.35</v>
      </c>
      <c r="P22" s="2" t="str">
        <f>IF(Tabela1[[#This Row],[Contas]]="","",IF(Tabela1[[#This Row],[Tam Conta]]=13,Tabela1[[#This Row],[Descrição Original]],P21))</f>
        <v>IMPOSTOS A RECUPERAR</v>
      </c>
    </row>
    <row r="23" spans="1:16" x14ac:dyDescent="0.35">
      <c r="A23">
        <v>2020</v>
      </c>
      <c r="B23" t="s">
        <v>55</v>
      </c>
      <c r="C23" s="57" t="s">
        <v>550</v>
      </c>
      <c r="D23" s="49" t="s">
        <v>551</v>
      </c>
      <c r="E23" s="50">
        <v>0</v>
      </c>
      <c r="F23" s="50">
        <v>433.97</v>
      </c>
      <c r="G23" s="50">
        <v>0</v>
      </c>
      <c r="H23" s="50">
        <f t="shared" si="2"/>
        <v>433.97</v>
      </c>
      <c r="I23" s="50">
        <v>433.97</v>
      </c>
      <c r="J23" s="49" t="s">
        <v>57</v>
      </c>
      <c r="K23">
        <f t="shared" si="0"/>
        <v>17</v>
      </c>
      <c r="L23" t="str">
        <f>IF(Tabela1[[#This Row],[Tam Conta]]=17,VLOOKUP(Tabela1[[#This Row],[Conta]],Tabela!$A:$C,3,FALSE),"")</f>
        <v>IRRF RETIDO S/ APLICACAO FINANCEIRA</v>
      </c>
      <c r="M23" s="11">
        <f>VLOOKUP(Tabela1[[#This Row],[ANO]]&amp;Tabela1[[#This Row],[Meses]],Tabela!$O:$P,2,FALSE)</f>
        <v>44166</v>
      </c>
      <c r="N23" t="str">
        <f t="shared" si="1"/>
        <v>1.01.01.02.11</v>
      </c>
      <c r="O23" s="5">
        <f>IF(Tabela1[[#This Row],[Contas]]="","",IF(Tabela1[[#This Row],[Contas]]="1.01.01.03.01",Tabela1[[#This Row],[Valor Débito]],Tabela1[[#This Row],[Movimento]]))</f>
        <v>433.97</v>
      </c>
      <c r="P23" s="2" t="str">
        <f>IF(Tabela1[[#This Row],[Contas]]="","",IF(Tabela1[[#This Row],[Tam Conta]]=13,Tabela1[[#This Row],[Descrição Original]],P22))</f>
        <v>IMPOSTOS A RECUPERAR</v>
      </c>
    </row>
    <row r="24" spans="1:16" x14ac:dyDescent="0.35">
      <c r="A24">
        <v>2020</v>
      </c>
      <c r="B24" t="s">
        <v>55</v>
      </c>
      <c r="C24" s="56">
        <v>2</v>
      </c>
      <c r="D24" s="49" t="s">
        <v>552</v>
      </c>
      <c r="E24" s="50">
        <v>0</v>
      </c>
      <c r="F24" s="50">
        <v>3109797</v>
      </c>
      <c r="G24" s="50">
        <v>77240445.950000003</v>
      </c>
      <c r="H24" s="50">
        <f t="shared" si="2"/>
        <v>-74130648.950000003</v>
      </c>
      <c r="I24" s="50">
        <v>74130648.950000003</v>
      </c>
      <c r="J24" s="49" t="s">
        <v>3257</v>
      </c>
      <c r="K24">
        <f t="shared" si="0"/>
        <v>1</v>
      </c>
      <c r="L24" t="str">
        <f>IF(Tabela1[[#This Row],[Tam Conta]]=17,VLOOKUP(Tabela1[[#This Row],[Conta]],Tabela!$A:$C,3,FALSE),"")</f>
        <v/>
      </c>
      <c r="M24" s="11">
        <f>VLOOKUP(Tabela1[[#This Row],[ANO]]&amp;Tabela1[[#This Row],[Meses]],Tabela!$O:$P,2,FALSE)</f>
        <v>44166</v>
      </c>
      <c r="N24" t="str">
        <f t="shared" si="1"/>
        <v/>
      </c>
      <c r="O24" s="5" t="str">
        <f>IF(Tabela1[[#This Row],[Contas]]="","",IF(Tabela1[[#This Row],[Contas]]="1.01.01.03.01",Tabela1[[#This Row],[Valor Débito]],Tabela1[[#This Row],[Movimento]]))</f>
        <v/>
      </c>
      <c r="P24" s="2" t="str">
        <f>IF(Tabela1[[#This Row],[Contas]]="","",IF(Tabela1[[#This Row],[Tam Conta]]=13,Tabela1[[#This Row],[Descrição Original]],P23))</f>
        <v/>
      </c>
    </row>
    <row r="25" spans="1:16" x14ac:dyDescent="0.35">
      <c r="A25">
        <v>2020</v>
      </c>
      <c r="B25" t="s">
        <v>55</v>
      </c>
      <c r="C25" s="57" t="s">
        <v>343</v>
      </c>
      <c r="D25" s="49" t="s">
        <v>344</v>
      </c>
      <c r="E25" s="50">
        <v>0</v>
      </c>
      <c r="F25" s="50">
        <v>3109797</v>
      </c>
      <c r="G25" s="50">
        <v>77240445.950000003</v>
      </c>
      <c r="H25" s="50">
        <f t="shared" si="2"/>
        <v>-74130648.950000003</v>
      </c>
      <c r="I25" s="50">
        <v>74130648.950000003</v>
      </c>
      <c r="J25" s="49" t="s">
        <v>3257</v>
      </c>
      <c r="K25">
        <f t="shared" si="0"/>
        <v>4</v>
      </c>
      <c r="L25" t="str">
        <f>IF(Tabela1[[#This Row],[Tam Conta]]=17,VLOOKUP(Tabela1[[#This Row],[Conta]],Tabela!$A:$C,3,FALSE),"")</f>
        <v/>
      </c>
      <c r="M25" s="11">
        <f>VLOOKUP(Tabela1[[#This Row],[ANO]]&amp;Tabela1[[#This Row],[Meses]],Tabela!$O:$P,2,FALSE)</f>
        <v>44166</v>
      </c>
      <c r="N25" t="str">
        <f t="shared" si="1"/>
        <v/>
      </c>
      <c r="O25" s="5" t="str">
        <f>IF(Tabela1[[#This Row],[Contas]]="","",IF(Tabela1[[#This Row],[Contas]]="1.01.01.03.01",Tabela1[[#This Row],[Valor Débito]],Tabela1[[#This Row],[Movimento]]))</f>
        <v/>
      </c>
      <c r="P25" s="2" t="str">
        <f>IF(Tabela1[[#This Row],[Contas]]="","",IF(Tabela1[[#This Row],[Tam Conta]]=13,Tabela1[[#This Row],[Descrição Original]],P24))</f>
        <v/>
      </c>
    </row>
    <row r="26" spans="1:16" x14ac:dyDescent="0.35">
      <c r="A26">
        <v>2020</v>
      </c>
      <c r="B26" t="s">
        <v>55</v>
      </c>
      <c r="C26" s="57" t="s">
        <v>345</v>
      </c>
      <c r="D26" s="49" t="s">
        <v>346</v>
      </c>
      <c r="E26" s="50">
        <v>0</v>
      </c>
      <c r="F26" s="50">
        <v>1705981.24</v>
      </c>
      <c r="G26" s="50">
        <v>2240445.9500000002</v>
      </c>
      <c r="H26" s="50">
        <f t="shared" si="2"/>
        <v>-534464.7100000002</v>
      </c>
      <c r="I26" s="50">
        <v>534464.71</v>
      </c>
      <c r="J26" s="49" t="s">
        <v>3257</v>
      </c>
      <c r="K26">
        <f t="shared" si="0"/>
        <v>7</v>
      </c>
      <c r="L26" t="str">
        <f>IF(Tabela1[[#This Row],[Tam Conta]]=17,VLOOKUP(Tabela1[[#This Row],[Conta]],Tabela!$A:$C,3,FALSE),"")</f>
        <v/>
      </c>
      <c r="M26" s="11">
        <f>VLOOKUP(Tabela1[[#This Row],[ANO]]&amp;Tabela1[[#This Row],[Meses]],Tabela!$O:$P,2,FALSE)</f>
        <v>44166</v>
      </c>
      <c r="N26" t="str">
        <f t="shared" si="1"/>
        <v/>
      </c>
      <c r="O26" s="5" t="str">
        <f>IF(Tabela1[[#This Row],[Contas]]="","",IF(Tabela1[[#This Row],[Contas]]="1.01.01.03.01",Tabela1[[#This Row],[Valor Débito]],Tabela1[[#This Row],[Movimento]]))</f>
        <v/>
      </c>
      <c r="P26" s="2" t="str">
        <f>IF(Tabela1[[#This Row],[Contas]]="","",IF(Tabela1[[#This Row],[Tam Conta]]=13,Tabela1[[#This Row],[Descrição Original]],P25))</f>
        <v/>
      </c>
    </row>
    <row r="27" spans="1:16" x14ac:dyDescent="0.35">
      <c r="A27">
        <v>2020</v>
      </c>
      <c r="B27" t="s">
        <v>55</v>
      </c>
      <c r="C27" s="57" t="s">
        <v>368</v>
      </c>
      <c r="D27" s="49" t="s">
        <v>369</v>
      </c>
      <c r="E27" s="50">
        <v>0</v>
      </c>
      <c r="F27" s="50">
        <v>1705981.24</v>
      </c>
      <c r="G27" s="50">
        <v>2240445.9500000002</v>
      </c>
      <c r="H27" s="50">
        <f t="shared" si="2"/>
        <v>-534464.7100000002</v>
      </c>
      <c r="I27" s="50">
        <v>534464.71</v>
      </c>
      <c r="J27" s="49" t="s">
        <v>3257</v>
      </c>
      <c r="K27">
        <f t="shared" si="0"/>
        <v>10</v>
      </c>
      <c r="L27" t="str">
        <f>IF(Tabela1[[#This Row],[Tam Conta]]=17,VLOOKUP(Tabela1[[#This Row],[Conta]],Tabela!$A:$C,3,FALSE),"")</f>
        <v/>
      </c>
      <c r="M27" s="11">
        <f>VLOOKUP(Tabela1[[#This Row],[ANO]]&amp;Tabela1[[#This Row],[Meses]],Tabela!$O:$P,2,FALSE)</f>
        <v>44166</v>
      </c>
      <c r="N27" t="str">
        <f t="shared" si="1"/>
        <v/>
      </c>
      <c r="O27" s="5" t="str">
        <f>IF(Tabela1[[#This Row],[Contas]]="","",IF(Tabela1[[#This Row],[Contas]]="1.01.01.03.01",Tabela1[[#This Row],[Valor Débito]],Tabela1[[#This Row],[Movimento]]))</f>
        <v/>
      </c>
      <c r="P27" s="2" t="str">
        <f>IF(Tabela1[[#This Row],[Contas]]="","",IF(Tabela1[[#This Row],[Tam Conta]]=13,Tabela1[[#This Row],[Descrição Original]],P26))</f>
        <v/>
      </c>
    </row>
    <row r="28" spans="1:16" x14ac:dyDescent="0.35">
      <c r="A28">
        <v>2020</v>
      </c>
      <c r="B28" t="s">
        <v>55</v>
      </c>
      <c r="C28" s="57" t="s">
        <v>370</v>
      </c>
      <c r="D28" s="49" t="s">
        <v>371</v>
      </c>
      <c r="E28" s="50">
        <v>0</v>
      </c>
      <c r="F28" s="50">
        <v>1063504.96</v>
      </c>
      <c r="G28" s="50">
        <v>1233048.81</v>
      </c>
      <c r="H28" s="50">
        <f t="shared" si="2"/>
        <v>-169543.85000000009</v>
      </c>
      <c r="I28" s="50">
        <v>169543.85</v>
      </c>
      <c r="J28" s="49" t="s">
        <v>3257</v>
      </c>
      <c r="K28">
        <f t="shared" si="0"/>
        <v>13</v>
      </c>
      <c r="L28" t="str">
        <f>IF(Tabela1[[#This Row],[Tam Conta]]=17,VLOOKUP(Tabela1[[#This Row],[Conta]],Tabela!$A:$C,3,FALSE),"")</f>
        <v/>
      </c>
      <c r="M28" s="11">
        <f>VLOOKUP(Tabela1[[#This Row],[ANO]]&amp;Tabela1[[#This Row],[Meses]],Tabela!$O:$P,2,FALSE)</f>
        <v>44166</v>
      </c>
      <c r="N28" t="str">
        <f t="shared" si="1"/>
        <v>2.01.01.02.01</v>
      </c>
      <c r="O28" s="5">
        <f>IF(Tabela1[[#This Row],[Contas]]="","",IF(Tabela1[[#This Row],[Contas]]="1.01.01.03.01",Tabela1[[#This Row],[Valor Débito]],Tabela1[[#This Row],[Movimento]]))</f>
        <v>-169543.85000000009</v>
      </c>
      <c r="P28" s="2" t="str">
        <f>IF(Tabela1[[#This Row],[Contas]]="","",IF(Tabela1[[#This Row],[Tam Conta]]=13,Tabela1[[#This Row],[Descrição Original]],P27))</f>
        <v>OBRIGACOES TRABALHISTAS</v>
      </c>
    </row>
    <row r="29" spans="1:16" x14ac:dyDescent="0.35">
      <c r="A29">
        <v>2020</v>
      </c>
      <c r="B29" t="s">
        <v>55</v>
      </c>
      <c r="C29" s="57" t="s">
        <v>373</v>
      </c>
      <c r="D29" s="49" t="s">
        <v>374</v>
      </c>
      <c r="E29" s="50">
        <v>0</v>
      </c>
      <c r="F29" s="50">
        <v>1059213.23</v>
      </c>
      <c r="G29" s="50">
        <v>1228757.08</v>
      </c>
      <c r="H29" s="50">
        <f t="shared" si="2"/>
        <v>-169543.85000000009</v>
      </c>
      <c r="I29" s="50">
        <v>169543.85</v>
      </c>
      <c r="J29" s="49" t="s">
        <v>3257</v>
      </c>
      <c r="K29">
        <f t="shared" si="0"/>
        <v>17</v>
      </c>
      <c r="L29" t="str">
        <f>IF(Tabela1[[#This Row],[Tam Conta]]=17,VLOOKUP(Tabela1[[#This Row],[Conta]],Tabela!$A:$C,3,FALSE),"")</f>
        <v>ORDENADOS A PAGAR</v>
      </c>
      <c r="M29" s="11">
        <f>VLOOKUP(Tabela1[[#This Row],[ANO]]&amp;Tabela1[[#This Row],[Meses]],Tabela!$O:$P,2,FALSE)</f>
        <v>44166</v>
      </c>
      <c r="N29" t="str">
        <f t="shared" si="1"/>
        <v>2.01.01.02.01</v>
      </c>
      <c r="O29" s="5">
        <f>IF(Tabela1[[#This Row],[Contas]]="","",IF(Tabela1[[#This Row],[Contas]]="1.01.01.03.01",Tabela1[[#This Row],[Valor Débito]],Tabela1[[#This Row],[Movimento]]))</f>
        <v>-169543.85000000009</v>
      </c>
      <c r="P29" s="2" t="str">
        <f>IF(Tabela1[[#This Row],[Contas]]="","",IF(Tabela1[[#This Row],[Tam Conta]]=13,Tabela1[[#This Row],[Descrição Original]],P28))</f>
        <v>OBRIGACOES TRABALHISTAS</v>
      </c>
    </row>
    <row r="30" spans="1:16" x14ac:dyDescent="0.35">
      <c r="A30">
        <v>2020</v>
      </c>
      <c r="B30" t="s">
        <v>55</v>
      </c>
      <c r="C30" s="57" t="s">
        <v>375</v>
      </c>
      <c r="D30" s="49" t="s">
        <v>376</v>
      </c>
      <c r="E30" s="50">
        <v>0</v>
      </c>
      <c r="F30" s="50">
        <v>4291.7299999999996</v>
      </c>
      <c r="G30" s="50">
        <v>4291.7299999999996</v>
      </c>
      <c r="H30" s="50">
        <f t="shared" si="2"/>
        <v>0</v>
      </c>
      <c r="I30" s="50">
        <v>0</v>
      </c>
      <c r="J30" s="49" t="s">
        <v>3257</v>
      </c>
      <c r="K30">
        <f t="shared" si="0"/>
        <v>17</v>
      </c>
      <c r="L30" t="str">
        <f>IF(Tabela1[[#This Row],[Tam Conta]]=17,VLOOKUP(Tabela1[[#This Row],[Conta]],Tabela!$A:$C,3,FALSE),"")</f>
        <v>RESCISOES A PAGAR</v>
      </c>
      <c r="M30" s="11">
        <f>VLOOKUP(Tabela1[[#This Row],[ANO]]&amp;Tabela1[[#This Row],[Meses]],Tabela!$O:$P,2,FALSE)</f>
        <v>44166</v>
      </c>
      <c r="N30" t="str">
        <f t="shared" si="1"/>
        <v>2.01.01.02.01</v>
      </c>
      <c r="O30" s="5">
        <f>IF(Tabela1[[#This Row],[Contas]]="","",IF(Tabela1[[#This Row],[Contas]]="1.01.01.03.01",Tabela1[[#This Row],[Valor Débito]],Tabela1[[#This Row],[Movimento]]))</f>
        <v>0</v>
      </c>
      <c r="P30" s="2" t="str">
        <f>IF(Tabela1[[#This Row],[Contas]]="","",IF(Tabela1[[#This Row],[Tam Conta]]=13,Tabela1[[#This Row],[Descrição Original]],P29))</f>
        <v>OBRIGACOES TRABALHISTAS</v>
      </c>
    </row>
    <row r="31" spans="1:16" x14ac:dyDescent="0.35">
      <c r="A31">
        <v>2020</v>
      </c>
      <c r="B31" t="s">
        <v>55</v>
      </c>
      <c r="C31" s="57" t="s">
        <v>382</v>
      </c>
      <c r="D31" s="49" t="s">
        <v>383</v>
      </c>
      <c r="E31" s="50">
        <v>0</v>
      </c>
      <c r="F31" s="50">
        <v>358987.39</v>
      </c>
      <c r="G31" s="50">
        <v>514769</v>
      </c>
      <c r="H31" s="50">
        <f t="shared" si="2"/>
        <v>-155781.60999999999</v>
      </c>
      <c r="I31" s="50">
        <v>155781.60999999999</v>
      </c>
      <c r="J31" s="49" t="s">
        <v>3257</v>
      </c>
      <c r="K31">
        <f t="shared" si="0"/>
        <v>13</v>
      </c>
      <c r="L31" t="str">
        <f>IF(Tabela1[[#This Row],[Tam Conta]]=17,VLOOKUP(Tabela1[[#This Row],[Conta]],Tabela!$A:$C,3,FALSE),"")</f>
        <v/>
      </c>
      <c r="M31" s="11">
        <f>VLOOKUP(Tabela1[[#This Row],[ANO]]&amp;Tabela1[[#This Row],[Meses]],Tabela!$O:$P,2,FALSE)</f>
        <v>44166</v>
      </c>
      <c r="N31" t="str">
        <f t="shared" si="1"/>
        <v>2.01.01.02.02</v>
      </c>
      <c r="O31" s="5">
        <f>IF(Tabela1[[#This Row],[Contas]]="","",IF(Tabela1[[#This Row],[Contas]]="1.01.01.03.01",Tabela1[[#This Row],[Valor Débito]],Tabela1[[#This Row],[Movimento]]))</f>
        <v>-155781.60999999999</v>
      </c>
      <c r="P31" s="2" t="str">
        <f>IF(Tabela1[[#This Row],[Contas]]="","",IF(Tabela1[[#This Row],[Tam Conta]]=13,Tabela1[[#This Row],[Descrição Original]],P30))</f>
        <v>OBRIGACOES SOCIAIS</v>
      </c>
    </row>
    <row r="32" spans="1:16" x14ac:dyDescent="0.35">
      <c r="A32">
        <v>2020</v>
      </c>
      <c r="B32" t="s">
        <v>55</v>
      </c>
      <c r="C32" s="57" t="s">
        <v>384</v>
      </c>
      <c r="D32" s="49" t="s">
        <v>385</v>
      </c>
      <c r="E32" s="50">
        <v>0</v>
      </c>
      <c r="F32" s="50">
        <v>71955.09</v>
      </c>
      <c r="G32" s="50">
        <v>94298.28</v>
      </c>
      <c r="H32" s="50">
        <f t="shared" si="2"/>
        <v>-22343.190000000002</v>
      </c>
      <c r="I32" s="50">
        <v>22343.19</v>
      </c>
      <c r="J32" s="49" t="s">
        <v>3257</v>
      </c>
      <c r="K32">
        <f t="shared" si="0"/>
        <v>17</v>
      </c>
      <c r="L32" t="str">
        <f>IF(Tabela1[[#This Row],[Tam Conta]]=17,VLOOKUP(Tabela1[[#This Row],[Conta]],Tabela!$A:$C,3,FALSE),"")</f>
        <v>F.G.T.S. A RECOLHER</v>
      </c>
      <c r="M32" s="11">
        <f>VLOOKUP(Tabela1[[#This Row],[ANO]]&amp;Tabela1[[#This Row],[Meses]],Tabela!$O:$P,2,FALSE)</f>
        <v>44166</v>
      </c>
      <c r="N32" t="str">
        <f t="shared" si="1"/>
        <v>2.01.01.02.02</v>
      </c>
      <c r="O32" s="5">
        <f>IF(Tabela1[[#This Row],[Contas]]="","",IF(Tabela1[[#This Row],[Contas]]="1.01.01.03.01",Tabela1[[#This Row],[Valor Débito]],Tabela1[[#This Row],[Movimento]]))</f>
        <v>-22343.190000000002</v>
      </c>
      <c r="P32" s="2" t="str">
        <f>IF(Tabela1[[#This Row],[Contas]]="","",IF(Tabela1[[#This Row],[Tam Conta]]=13,Tabela1[[#This Row],[Descrição Original]],P31))</f>
        <v>OBRIGACOES SOCIAIS</v>
      </c>
    </row>
    <row r="33" spans="1:16" x14ac:dyDescent="0.35">
      <c r="A33">
        <v>2020</v>
      </c>
      <c r="B33" t="s">
        <v>55</v>
      </c>
      <c r="C33" s="57" t="s">
        <v>386</v>
      </c>
      <c r="D33" s="49" t="s">
        <v>553</v>
      </c>
      <c r="E33" s="50">
        <v>0</v>
      </c>
      <c r="F33" s="50">
        <v>287032.3</v>
      </c>
      <c r="G33" s="50">
        <v>408698.08</v>
      </c>
      <c r="H33" s="50">
        <f t="shared" si="2"/>
        <v>-121665.78000000003</v>
      </c>
      <c r="I33" s="50">
        <v>121665.78</v>
      </c>
      <c r="J33" s="49" t="s">
        <v>3257</v>
      </c>
      <c r="K33">
        <f t="shared" si="0"/>
        <v>17</v>
      </c>
      <c r="L33" t="str">
        <f>IF(Tabela1[[#This Row],[Tam Conta]]=17,VLOOKUP(Tabela1[[#This Row],[Conta]],Tabela!$A:$C,3,FALSE),"")</f>
        <v>I.N.S.S. A RECOLHER</v>
      </c>
      <c r="M33" s="11">
        <f>VLOOKUP(Tabela1[[#This Row],[ANO]]&amp;Tabela1[[#This Row],[Meses]],Tabela!$O:$P,2,FALSE)</f>
        <v>44166</v>
      </c>
      <c r="N33" t="str">
        <f t="shared" si="1"/>
        <v>2.01.01.02.02</v>
      </c>
      <c r="O33" s="5">
        <f>IF(Tabela1[[#This Row],[Contas]]="","",IF(Tabela1[[#This Row],[Contas]]="1.01.01.03.01",Tabela1[[#This Row],[Valor Débito]],Tabela1[[#This Row],[Movimento]]))</f>
        <v>-121665.78000000003</v>
      </c>
      <c r="P33" s="2" t="str">
        <f>IF(Tabela1[[#This Row],[Contas]]="","",IF(Tabela1[[#This Row],[Tam Conta]]=13,Tabela1[[#This Row],[Descrição Original]],P32))</f>
        <v>OBRIGACOES SOCIAIS</v>
      </c>
    </row>
    <row r="34" spans="1:16" x14ac:dyDescent="0.35">
      <c r="A34">
        <v>2020</v>
      </c>
      <c r="B34" t="s">
        <v>55</v>
      </c>
      <c r="C34" s="57" t="s">
        <v>388</v>
      </c>
      <c r="D34" s="49" t="s">
        <v>389</v>
      </c>
      <c r="E34" s="50">
        <v>0</v>
      </c>
      <c r="F34" s="50">
        <v>0</v>
      </c>
      <c r="G34" s="50">
        <v>11772.64</v>
      </c>
      <c r="H34" s="50">
        <f t="shared" si="2"/>
        <v>-11772.64</v>
      </c>
      <c r="I34" s="50">
        <v>11772.64</v>
      </c>
      <c r="J34" s="49" t="s">
        <v>3257</v>
      </c>
      <c r="K34">
        <f t="shared" si="0"/>
        <v>17</v>
      </c>
      <c r="L34" t="str">
        <f>IF(Tabela1[[#This Row],[Tam Conta]]=17,VLOOKUP(Tabela1[[#This Row],[Conta]],Tabela!$A:$C,3,FALSE),"")</f>
        <v>P.I.S. A RECOLHER</v>
      </c>
      <c r="M34" s="11">
        <f>VLOOKUP(Tabela1[[#This Row],[ANO]]&amp;Tabela1[[#This Row],[Meses]],Tabela!$O:$P,2,FALSE)</f>
        <v>44166</v>
      </c>
      <c r="N34" t="str">
        <f t="shared" si="1"/>
        <v>2.01.01.02.02</v>
      </c>
      <c r="O34" s="5">
        <f>IF(Tabela1[[#This Row],[Contas]]="","",IF(Tabela1[[#This Row],[Contas]]="1.01.01.03.01",Tabela1[[#This Row],[Valor Débito]],Tabela1[[#This Row],[Movimento]]))</f>
        <v>-11772.64</v>
      </c>
      <c r="P34" s="2" t="str">
        <f>IF(Tabela1[[#This Row],[Contas]]="","",IF(Tabela1[[#This Row],[Tam Conta]]=13,Tabela1[[#This Row],[Descrição Original]],P33))</f>
        <v>OBRIGACOES SOCIAIS</v>
      </c>
    </row>
    <row r="35" spans="1:16" x14ac:dyDescent="0.35">
      <c r="A35">
        <v>2020</v>
      </c>
      <c r="B35" t="s">
        <v>55</v>
      </c>
      <c r="C35" s="57" t="s">
        <v>390</v>
      </c>
      <c r="D35" s="49" t="s">
        <v>391</v>
      </c>
      <c r="E35" s="50">
        <v>0</v>
      </c>
      <c r="F35" s="50">
        <v>154623.35999999999</v>
      </c>
      <c r="G35" s="50">
        <v>194532.32</v>
      </c>
      <c r="H35" s="50">
        <f t="shared" si="2"/>
        <v>-39908.960000000021</v>
      </c>
      <c r="I35" s="50">
        <v>39908.959999999999</v>
      </c>
      <c r="J35" s="49" t="s">
        <v>3257</v>
      </c>
      <c r="K35">
        <f t="shared" si="0"/>
        <v>13</v>
      </c>
      <c r="L35" t="str">
        <f>IF(Tabela1[[#This Row],[Tam Conta]]=17,VLOOKUP(Tabela1[[#This Row],[Conta]],Tabela!$A:$C,3,FALSE),"")</f>
        <v/>
      </c>
      <c r="M35" s="11">
        <f>VLOOKUP(Tabela1[[#This Row],[ANO]]&amp;Tabela1[[#This Row],[Meses]],Tabela!$O:$P,2,FALSE)</f>
        <v>44166</v>
      </c>
      <c r="N35" t="str">
        <f t="shared" si="1"/>
        <v>2.01.01.02.03</v>
      </c>
      <c r="O35" s="5">
        <f>IF(Tabela1[[#This Row],[Contas]]="","",IF(Tabela1[[#This Row],[Contas]]="1.01.01.03.01",Tabela1[[#This Row],[Valor Débito]],Tabela1[[#This Row],[Movimento]]))</f>
        <v>-39908.960000000021</v>
      </c>
      <c r="P35" s="2" t="str">
        <f>IF(Tabela1[[#This Row],[Contas]]="","",IF(Tabela1[[#This Row],[Tam Conta]]=13,Tabela1[[#This Row],[Descrição Original]],P34))</f>
        <v>OBRIGACOES FISCAIS</v>
      </c>
    </row>
    <row r="36" spans="1:16" x14ac:dyDescent="0.35">
      <c r="A36">
        <v>2020</v>
      </c>
      <c r="B36" t="s">
        <v>55</v>
      </c>
      <c r="C36" s="57" t="s">
        <v>401</v>
      </c>
      <c r="D36" s="49" t="s">
        <v>554</v>
      </c>
      <c r="E36" s="50">
        <v>0</v>
      </c>
      <c r="F36" s="50">
        <v>154623.35999999999</v>
      </c>
      <c r="G36" s="50">
        <v>194532.32</v>
      </c>
      <c r="H36" s="50">
        <f t="shared" si="2"/>
        <v>-39908.960000000021</v>
      </c>
      <c r="I36" s="50">
        <v>39908.959999999999</v>
      </c>
      <c r="J36" s="49" t="s">
        <v>3257</v>
      </c>
      <c r="K36">
        <f t="shared" si="0"/>
        <v>17</v>
      </c>
      <c r="L36" t="str">
        <f>IF(Tabela1[[#This Row],[Tam Conta]]=17,VLOOKUP(Tabela1[[#This Row],[Conta]],Tabela!$A:$C,3,FALSE),"")</f>
        <v>I.R.R.F. A RECOLHER SOBRE FOPAG</v>
      </c>
      <c r="M36" s="11">
        <f>VLOOKUP(Tabela1[[#This Row],[ANO]]&amp;Tabela1[[#This Row],[Meses]],Tabela!$O:$P,2,FALSE)</f>
        <v>44166</v>
      </c>
      <c r="N36" t="str">
        <f t="shared" si="1"/>
        <v>2.01.01.02.03</v>
      </c>
      <c r="O36" s="5">
        <f>IF(Tabela1[[#This Row],[Contas]]="","",IF(Tabela1[[#This Row],[Contas]]="1.01.01.03.01",Tabela1[[#This Row],[Valor Débito]],Tabela1[[#This Row],[Movimento]]))</f>
        <v>-39908.960000000021</v>
      </c>
      <c r="P36" s="2" t="str">
        <f>IF(Tabela1[[#This Row],[Contas]]="","",IF(Tabela1[[#This Row],[Tam Conta]]=13,Tabela1[[#This Row],[Descrição Original]],P35))</f>
        <v>OBRIGACOES FISCAIS</v>
      </c>
    </row>
    <row r="37" spans="1:16" x14ac:dyDescent="0.35">
      <c r="A37">
        <v>2020</v>
      </c>
      <c r="B37" t="s">
        <v>55</v>
      </c>
      <c r="C37" s="57" t="s">
        <v>410</v>
      </c>
      <c r="D37" s="49" t="s">
        <v>411</v>
      </c>
      <c r="E37" s="50">
        <v>0</v>
      </c>
      <c r="F37" s="50">
        <v>128865.53</v>
      </c>
      <c r="G37" s="50">
        <v>298095.82</v>
      </c>
      <c r="H37" s="50">
        <f t="shared" si="2"/>
        <v>-169230.29</v>
      </c>
      <c r="I37" s="50">
        <v>169230.29</v>
      </c>
      <c r="J37" s="49" t="s">
        <v>3257</v>
      </c>
      <c r="K37">
        <f t="shared" si="0"/>
        <v>13</v>
      </c>
      <c r="L37" t="str">
        <f>IF(Tabela1[[#This Row],[Tam Conta]]=17,VLOOKUP(Tabela1[[#This Row],[Conta]],Tabela!$A:$C,3,FALSE),"")</f>
        <v/>
      </c>
      <c r="M37" s="11">
        <f>VLOOKUP(Tabela1[[#This Row],[ANO]]&amp;Tabela1[[#This Row],[Meses]],Tabela!$O:$P,2,FALSE)</f>
        <v>44166</v>
      </c>
      <c r="N37" t="str">
        <f t="shared" si="1"/>
        <v>2.01.01.02.05</v>
      </c>
      <c r="O37" s="5">
        <f>IF(Tabela1[[#This Row],[Contas]]="","",IF(Tabela1[[#This Row],[Contas]]="1.01.01.03.01",Tabela1[[#This Row],[Valor Débito]],Tabela1[[#This Row],[Movimento]]))</f>
        <v>-169230.29</v>
      </c>
      <c r="P37" s="2" t="str">
        <f>IF(Tabela1[[#This Row],[Contas]]="","",IF(Tabela1[[#This Row],[Tam Conta]]=13,Tabela1[[#This Row],[Descrição Original]],P36))</f>
        <v>PROVISOES</v>
      </c>
    </row>
    <row r="38" spans="1:16" x14ac:dyDescent="0.35">
      <c r="A38">
        <v>2020</v>
      </c>
      <c r="B38" t="s">
        <v>55</v>
      </c>
      <c r="C38" s="57" t="s">
        <v>412</v>
      </c>
      <c r="D38" s="49" t="s">
        <v>413</v>
      </c>
      <c r="E38" s="50">
        <v>0</v>
      </c>
      <c r="F38" s="50">
        <v>89595.17</v>
      </c>
      <c r="G38" s="50">
        <v>89595.17</v>
      </c>
      <c r="H38" s="50">
        <f t="shared" si="2"/>
        <v>0</v>
      </c>
      <c r="I38" s="50">
        <v>0</v>
      </c>
      <c r="J38" s="49" t="s">
        <v>3257</v>
      </c>
      <c r="K38">
        <f t="shared" si="0"/>
        <v>17</v>
      </c>
      <c r="L38" t="str">
        <f>IF(Tabela1[[#This Row],[Tam Conta]]=17,VLOOKUP(Tabela1[[#This Row],[Conta]],Tabela!$A:$C,3,FALSE),"")</f>
        <v>PROVISAO PARA   13 SALARIO</v>
      </c>
      <c r="M38" s="11">
        <f>VLOOKUP(Tabela1[[#This Row],[ANO]]&amp;Tabela1[[#This Row],[Meses]],Tabela!$O:$P,2,FALSE)</f>
        <v>44166</v>
      </c>
      <c r="N38" t="str">
        <f t="shared" si="1"/>
        <v>2.01.01.02.05</v>
      </c>
      <c r="O38" s="5">
        <f>IF(Tabela1[[#This Row],[Contas]]="","",IF(Tabela1[[#This Row],[Contas]]="1.01.01.03.01",Tabela1[[#This Row],[Valor Débito]],Tabela1[[#This Row],[Movimento]]))</f>
        <v>0</v>
      </c>
      <c r="P38" s="2" t="str">
        <f>IF(Tabela1[[#This Row],[Contas]]="","",IF(Tabela1[[#This Row],[Tam Conta]]=13,Tabela1[[#This Row],[Descrição Original]],P37))</f>
        <v>PROVISOES</v>
      </c>
    </row>
    <row r="39" spans="1:16" x14ac:dyDescent="0.35">
      <c r="A39">
        <v>2020</v>
      </c>
      <c r="B39" t="s">
        <v>55</v>
      </c>
      <c r="C39" s="57" t="s">
        <v>415</v>
      </c>
      <c r="D39" s="49" t="s">
        <v>555</v>
      </c>
      <c r="E39" s="50">
        <v>0</v>
      </c>
      <c r="F39" s="50">
        <v>4605.05</v>
      </c>
      <c r="G39" s="50">
        <v>128311.63</v>
      </c>
      <c r="H39" s="50">
        <f t="shared" si="2"/>
        <v>-123706.58</v>
      </c>
      <c r="I39" s="50">
        <v>123706.58</v>
      </c>
      <c r="J39" s="49" t="s">
        <v>3257</v>
      </c>
      <c r="K39">
        <f t="shared" si="0"/>
        <v>17</v>
      </c>
      <c r="L39" t="str">
        <f>IF(Tabela1[[#This Row],[Tam Conta]]=17,VLOOKUP(Tabela1[[#This Row],[Conta]],Tabela!$A:$C,3,FALSE),"")</f>
        <v>PROVISAO PARA   FERIAS</v>
      </c>
      <c r="M39" s="11">
        <f>VLOOKUP(Tabela1[[#This Row],[ANO]]&amp;Tabela1[[#This Row],[Meses]],Tabela!$O:$P,2,FALSE)</f>
        <v>44166</v>
      </c>
      <c r="N39" t="str">
        <f t="shared" si="1"/>
        <v>2.01.01.02.05</v>
      </c>
      <c r="O39" s="5">
        <f>IF(Tabela1[[#This Row],[Contas]]="","",IF(Tabela1[[#This Row],[Contas]]="1.01.01.03.01",Tabela1[[#This Row],[Valor Débito]],Tabela1[[#This Row],[Movimento]]))</f>
        <v>-123706.58</v>
      </c>
      <c r="P39" s="2" t="str">
        <f>IF(Tabela1[[#This Row],[Contas]]="","",IF(Tabela1[[#This Row],[Tam Conta]]=13,Tabela1[[#This Row],[Descrição Original]],P38))</f>
        <v>PROVISOES</v>
      </c>
    </row>
    <row r="40" spans="1:16" x14ac:dyDescent="0.35">
      <c r="A40">
        <v>2020</v>
      </c>
      <c r="B40" t="s">
        <v>55</v>
      </c>
      <c r="C40" s="57" t="s">
        <v>418</v>
      </c>
      <c r="D40" s="49" t="s">
        <v>556</v>
      </c>
      <c r="E40" s="50">
        <v>0</v>
      </c>
      <c r="F40" s="50">
        <v>32970.660000000003</v>
      </c>
      <c r="G40" s="50">
        <v>32970.660000000003</v>
      </c>
      <c r="H40" s="50">
        <f t="shared" si="2"/>
        <v>0</v>
      </c>
      <c r="I40" s="50">
        <v>0</v>
      </c>
      <c r="J40" s="49" t="s">
        <v>3257</v>
      </c>
      <c r="K40">
        <f t="shared" si="0"/>
        <v>17</v>
      </c>
      <c r="L40" t="str">
        <f>IF(Tabela1[[#This Row],[Tam Conta]]=17,VLOOKUP(Tabela1[[#This Row],[Conta]],Tabela!$A:$C,3,FALSE),"")</f>
        <v>PROVISAO PARA   ENCARGOS SOCIAIS - 13º SALARIO</v>
      </c>
      <c r="M40" s="11">
        <f>VLOOKUP(Tabela1[[#This Row],[ANO]]&amp;Tabela1[[#This Row],[Meses]],Tabela!$O:$P,2,FALSE)</f>
        <v>44166</v>
      </c>
      <c r="N40" t="str">
        <f t="shared" si="1"/>
        <v>2.01.01.02.05</v>
      </c>
      <c r="O40" s="5">
        <f>IF(Tabela1[[#This Row],[Contas]]="","",IF(Tabela1[[#This Row],[Contas]]="1.01.01.03.01",Tabela1[[#This Row],[Valor Débito]],Tabela1[[#This Row],[Movimento]]))</f>
        <v>0</v>
      </c>
      <c r="P40" s="2" t="str">
        <f>IF(Tabela1[[#This Row],[Contas]]="","",IF(Tabela1[[#This Row],[Tam Conta]]=13,Tabela1[[#This Row],[Descrição Original]],P39))</f>
        <v>PROVISOES</v>
      </c>
    </row>
    <row r="41" spans="1:16" x14ac:dyDescent="0.35">
      <c r="A41">
        <v>2020</v>
      </c>
      <c r="B41" t="s">
        <v>55</v>
      </c>
      <c r="C41" s="57" t="s">
        <v>421</v>
      </c>
      <c r="D41" s="49" t="s">
        <v>557</v>
      </c>
      <c r="E41" s="50">
        <v>0</v>
      </c>
      <c r="F41" s="50">
        <v>1694.65</v>
      </c>
      <c r="G41" s="50">
        <v>47218.36</v>
      </c>
      <c r="H41" s="50">
        <f t="shared" si="2"/>
        <v>-45523.71</v>
      </c>
      <c r="I41" s="50">
        <v>45523.71</v>
      </c>
      <c r="J41" s="49" t="s">
        <v>3257</v>
      </c>
      <c r="K41">
        <f t="shared" si="0"/>
        <v>17</v>
      </c>
      <c r="L41" t="str">
        <f>IF(Tabela1[[#This Row],[Tam Conta]]=17,VLOOKUP(Tabela1[[#This Row],[Conta]],Tabela!$A:$C,3,FALSE),"")</f>
        <v>PROVISÃO PARA ENCARGOS SOCIAIS - FERIAS</v>
      </c>
      <c r="M41" s="11">
        <f>VLOOKUP(Tabela1[[#This Row],[ANO]]&amp;Tabela1[[#This Row],[Meses]],Tabela!$O:$P,2,FALSE)</f>
        <v>44166</v>
      </c>
      <c r="N41" t="str">
        <f t="shared" si="1"/>
        <v>2.01.01.02.05</v>
      </c>
      <c r="O41" s="5">
        <f>IF(Tabela1[[#This Row],[Contas]]="","",IF(Tabela1[[#This Row],[Contas]]="1.01.01.03.01",Tabela1[[#This Row],[Valor Débito]],Tabela1[[#This Row],[Movimento]]))</f>
        <v>-45523.71</v>
      </c>
      <c r="P41" s="2" t="str">
        <f>IF(Tabela1[[#This Row],[Contas]]="","",IF(Tabela1[[#This Row],[Tam Conta]]=13,Tabela1[[#This Row],[Descrição Original]],P40))</f>
        <v>PROVISOES</v>
      </c>
    </row>
    <row r="42" spans="1:16" x14ac:dyDescent="0.35">
      <c r="A42">
        <v>2020</v>
      </c>
      <c r="B42" t="s">
        <v>55</v>
      </c>
      <c r="C42" s="57" t="s">
        <v>426</v>
      </c>
      <c r="D42" s="49" t="s">
        <v>427</v>
      </c>
      <c r="E42" s="50">
        <v>0</v>
      </c>
      <c r="F42" s="50">
        <v>1403815.76</v>
      </c>
      <c r="G42" s="50">
        <v>75000000</v>
      </c>
      <c r="H42" s="50">
        <f t="shared" si="2"/>
        <v>-73596184.239999995</v>
      </c>
      <c r="I42" s="50">
        <v>73596184.239999995</v>
      </c>
      <c r="J42" s="49" t="s">
        <v>3257</v>
      </c>
      <c r="K42">
        <f t="shared" si="0"/>
        <v>7</v>
      </c>
      <c r="L42" t="str">
        <f>IF(Tabela1[[#This Row],[Tam Conta]]=17,VLOOKUP(Tabela1[[#This Row],[Conta]],Tabela!$A:$C,3,FALSE),"")</f>
        <v/>
      </c>
      <c r="M42" s="11">
        <f>VLOOKUP(Tabela1[[#This Row],[ANO]]&amp;Tabela1[[#This Row],[Meses]],Tabela!$O:$P,2,FALSE)</f>
        <v>44166</v>
      </c>
      <c r="N42" t="str">
        <f t="shared" si="1"/>
        <v/>
      </c>
      <c r="O42" s="5" t="str">
        <f>IF(Tabela1[[#This Row],[Contas]]="","",IF(Tabela1[[#This Row],[Contas]]="1.01.01.03.01",Tabela1[[#This Row],[Valor Débito]],Tabela1[[#This Row],[Movimento]]))</f>
        <v/>
      </c>
      <c r="P42" s="2" t="str">
        <f>IF(Tabela1[[#This Row],[Contas]]="","",IF(Tabela1[[#This Row],[Tam Conta]]=13,Tabela1[[#This Row],[Descrição Original]],P41))</f>
        <v/>
      </c>
    </row>
    <row r="43" spans="1:16" x14ac:dyDescent="0.35">
      <c r="A43">
        <v>2020</v>
      </c>
      <c r="B43" t="s">
        <v>55</v>
      </c>
      <c r="C43" s="57" t="s">
        <v>429</v>
      </c>
      <c r="D43" s="49" t="s">
        <v>430</v>
      </c>
      <c r="E43" s="50">
        <v>0</v>
      </c>
      <c r="F43" s="50">
        <v>1403815.76</v>
      </c>
      <c r="G43" s="50">
        <v>75000000</v>
      </c>
      <c r="H43" s="50">
        <f t="shared" si="2"/>
        <v>-73596184.239999995</v>
      </c>
      <c r="I43" s="50">
        <v>73596184.239999995</v>
      </c>
      <c r="J43" s="49" t="s">
        <v>3257</v>
      </c>
      <c r="K43">
        <f t="shared" si="0"/>
        <v>10</v>
      </c>
      <c r="L43" t="str">
        <f>IF(Tabela1[[#This Row],[Tam Conta]]=17,VLOOKUP(Tabela1[[#This Row],[Conta]],Tabela!$A:$C,3,FALSE),"")</f>
        <v/>
      </c>
      <c r="M43" s="11">
        <f>VLOOKUP(Tabela1[[#This Row],[ANO]]&amp;Tabela1[[#This Row],[Meses]],Tabela!$O:$P,2,FALSE)</f>
        <v>44166</v>
      </c>
      <c r="N43" t="str">
        <f t="shared" si="1"/>
        <v/>
      </c>
      <c r="O43" s="5" t="str">
        <f>IF(Tabela1[[#This Row],[Contas]]="","",IF(Tabela1[[#This Row],[Contas]]="1.01.01.03.01",Tabela1[[#This Row],[Valor Débito]],Tabela1[[#This Row],[Movimento]]))</f>
        <v/>
      </c>
      <c r="P43" s="2" t="str">
        <f>IF(Tabela1[[#This Row],[Contas]]="","",IF(Tabela1[[#This Row],[Tam Conta]]=13,Tabela1[[#This Row],[Descrição Original]],P42))</f>
        <v/>
      </c>
    </row>
    <row r="44" spans="1:16" x14ac:dyDescent="0.35">
      <c r="A44">
        <v>2020</v>
      </c>
      <c r="B44" t="s">
        <v>55</v>
      </c>
      <c r="C44" s="57" t="s">
        <v>432</v>
      </c>
      <c r="D44" s="49" t="s">
        <v>433</v>
      </c>
      <c r="E44" s="50">
        <v>0</v>
      </c>
      <c r="F44" s="50">
        <v>1403815.76</v>
      </c>
      <c r="G44" s="50">
        <v>75000000</v>
      </c>
      <c r="H44" s="50">
        <f t="shared" si="2"/>
        <v>-73596184.239999995</v>
      </c>
      <c r="I44" s="50">
        <v>73596184.239999995</v>
      </c>
      <c r="J44" s="49" t="s">
        <v>3257</v>
      </c>
      <c r="K44">
        <f t="shared" si="0"/>
        <v>13</v>
      </c>
      <c r="L44" t="str">
        <f>IF(Tabela1[[#This Row],[Tam Conta]]=17,VLOOKUP(Tabela1[[#This Row],[Conta]],Tabela!$A:$C,3,FALSE),"")</f>
        <v/>
      </c>
      <c r="M44" s="11">
        <f>VLOOKUP(Tabela1[[#This Row],[ANO]]&amp;Tabela1[[#This Row],[Meses]],Tabela!$O:$P,2,FALSE)</f>
        <v>44166</v>
      </c>
      <c r="N44" t="str">
        <f t="shared" si="1"/>
        <v>2.02.01.02.01</v>
      </c>
      <c r="O44" s="5">
        <f>IF(Tabela1[[#This Row],[Contas]]="","",IF(Tabela1[[#This Row],[Contas]]="1.01.01.03.01",Tabela1[[#This Row],[Valor Débito]],Tabela1[[#This Row],[Movimento]]))</f>
        <v>-73596184.239999995</v>
      </c>
      <c r="P44" s="2" t="str">
        <f>IF(Tabela1[[#This Row],[Contas]]="","",IF(Tabela1[[#This Row],[Tam Conta]]=13,Tabela1[[#This Row],[Descrição Original]],P43))</f>
        <v>RECEITAS DIFERIDAS</v>
      </c>
    </row>
    <row r="45" spans="1:16" x14ac:dyDescent="0.35">
      <c r="A45">
        <v>2020</v>
      </c>
      <c r="B45" t="s">
        <v>55</v>
      </c>
      <c r="C45" s="49" t="s">
        <v>558</v>
      </c>
      <c r="D45" s="49" t="s">
        <v>559</v>
      </c>
      <c r="E45" s="50">
        <v>0</v>
      </c>
      <c r="F45" s="50">
        <v>1403815.76</v>
      </c>
      <c r="G45" s="50">
        <v>75000000</v>
      </c>
      <c r="H45" s="50">
        <f t="shared" si="2"/>
        <v>-73596184.239999995</v>
      </c>
      <c r="I45" s="50">
        <v>73596184.239999995</v>
      </c>
      <c r="J45" s="49" t="s">
        <v>3257</v>
      </c>
      <c r="K45">
        <f t="shared" si="0"/>
        <v>17</v>
      </c>
      <c r="L45" t="str">
        <f>IF(Tabela1[[#This Row],[Tam Conta]]=17,VLOOKUP(Tabela1[[#This Row],[Conta]],Tabela!$A:$C,3,FALSE),"")</f>
        <v>SUBVENCAO E ASSISTENCIA GOVERNAMENTAIS A REALIZAR L.P</v>
      </c>
      <c r="M45" s="11">
        <f>VLOOKUP(Tabela1[[#This Row],[ANO]]&amp;Tabela1[[#This Row],[Meses]],Tabela!$O:$P,2,FALSE)</f>
        <v>44166</v>
      </c>
      <c r="N45" t="str">
        <f t="shared" si="1"/>
        <v>2.02.01.02.01</v>
      </c>
      <c r="O45" s="5">
        <f>IF(Tabela1[[#This Row],[Contas]]="","",IF(Tabela1[[#This Row],[Contas]]="1.01.01.03.01",Tabela1[[#This Row],[Valor Débito]],Tabela1[[#This Row],[Movimento]]))</f>
        <v>-73596184.239999995</v>
      </c>
      <c r="P45" s="2" t="str">
        <f>IF(Tabela1[[#This Row],[Contas]]="","",IF(Tabela1[[#This Row],[Tam Conta]]=13,Tabela1[[#This Row],[Descrição Original]],P44))</f>
        <v>RECEITAS DIFERIDAS</v>
      </c>
    </row>
    <row r="46" spans="1:16" x14ac:dyDescent="0.35">
      <c r="A46">
        <v>2020</v>
      </c>
      <c r="B46" t="s">
        <v>55</v>
      </c>
      <c r="C46" s="49">
        <v>3</v>
      </c>
      <c r="D46" s="49" t="s">
        <v>560</v>
      </c>
      <c r="E46" s="50">
        <v>0</v>
      </c>
      <c r="F46" s="50">
        <v>0</v>
      </c>
      <c r="G46" s="50">
        <v>1433646.3</v>
      </c>
      <c r="H46" s="50">
        <f t="shared" si="2"/>
        <v>-1433646.3</v>
      </c>
      <c r="I46" s="50">
        <v>1433646.3</v>
      </c>
      <c r="J46" s="49" t="s">
        <v>3257</v>
      </c>
      <c r="K46">
        <f t="shared" si="0"/>
        <v>1</v>
      </c>
      <c r="L46" t="str">
        <f>IF(Tabela1[[#This Row],[Tam Conta]]=17,VLOOKUP(Tabela1[[#This Row],[Conta]],Tabela!$A:$C,3,FALSE),"")</f>
        <v/>
      </c>
      <c r="M46" s="11">
        <f>VLOOKUP(Tabela1[[#This Row],[ANO]]&amp;Tabela1[[#This Row],[Meses]],Tabela!$O:$P,2,FALSE)</f>
        <v>44166</v>
      </c>
      <c r="N46" t="str">
        <f t="shared" si="1"/>
        <v/>
      </c>
      <c r="O46" s="5" t="str">
        <f>IF(Tabela1[[#This Row],[Contas]]="","",IF(Tabela1[[#This Row],[Contas]]="1.01.01.03.01",Tabela1[[#This Row],[Valor Débito]],Tabela1[[#This Row],[Movimento]]))</f>
        <v/>
      </c>
      <c r="P46" s="2" t="str">
        <f>IF(Tabela1[[#This Row],[Contas]]="","",IF(Tabela1[[#This Row],[Tam Conta]]=13,Tabela1[[#This Row],[Descrição Original]],P45))</f>
        <v/>
      </c>
    </row>
    <row r="47" spans="1:16" x14ac:dyDescent="0.35">
      <c r="A47">
        <v>2020</v>
      </c>
      <c r="B47" t="s">
        <v>55</v>
      </c>
      <c r="C47" s="57" t="s">
        <v>450</v>
      </c>
      <c r="D47" s="49" t="s">
        <v>451</v>
      </c>
      <c r="E47" s="50">
        <v>0</v>
      </c>
      <c r="F47" s="50">
        <v>0</v>
      </c>
      <c r="G47" s="50">
        <v>1433646.3</v>
      </c>
      <c r="H47" s="50">
        <f t="shared" si="2"/>
        <v>-1433646.3</v>
      </c>
      <c r="I47" s="50">
        <v>1433646.3</v>
      </c>
      <c r="J47" s="49" t="s">
        <v>3257</v>
      </c>
      <c r="K47">
        <f t="shared" si="0"/>
        <v>4</v>
      </c>
      <c r="L47" t="str">
        <f>IF(Tabela1[[#This Row],[Tam Conta]]=17,VLOOKUP(Tabela1[[#This Row],[Conta]],Tabela!$A:$C,3,FALSE),"")</f>
        <v/>
      </c>
      <c r="M47" s="11">
        <f>VLOOKUP(Tabela1[[#This Row],[ANO]]&amp;Tabela1[[#This Row],[Meses]],Tabela!$O:$P,2,FALSE)</f>
        <v>44166</v>
      </c>
      <c r="N47" t="str">
        <f t="shared" si="1"/>
        <v/>
      </c>
      <c r="O47" s="5" t="str">
        <f>IF(Tabela1[[#This Row],[Contas]]="","",IF(Tabela1[[#This Row],[Contas]]="1.01.01.03.01",Tabela1[[#This Row],[Valor Débito]],Tabela1[[#This Row],[Movimento]]))</f>
        <v/>
      </c>
      <c r="P47" s="2" t="str">
        <f>IF(Tabela1[[#This Row],[Contas]]="","",IF(Tabela1[[#This Row],[Tam Conta]]=13,Tabela1[[#This Row],[Descrição Original]],P46))</f>
        <v/>
      </c>
    </row>
    <row r="48" spans="1:16" x14ac:dyDescent="0.35">
      <c r="A48">
        <v>2020</v>
      </c>
      <c r="B48" t="s">
        <v>55</v>
      </c>
      <c r="C48" s="57" t="s">
        <v>452</v>
      </c>
      <c r="D48" s="49" t="s">
        <v>453</v>
      </c>
      <c r="E48" s="50">
        <v>0</v>
      </c>
      <c r="F48" s="50">
        <v>0</v>
      </c>
      <c r="G48" s="50">
        <v>1433646.3</v>
      </c>
      <c r="H48" s="50">
        <f t="shared" si="2"/>
        <v>-1433646.3</v>
      </c>
      <c r="I48" s="50">
        <v>1433646.3</v>
      </c>
      <c r="J48" s="49" t="s">
        <v>3257</v>
      </c>
      <c r="K48">
        <f t="shared" si="0"/>
        <v>7</v>
      </c>
      <c r="L48" t="str">
        <f>IF(Tabela1[[#This Row],[Tam Conta]]=17,VLOOKUP(Tabela1[[#This Row],[Conta]],Tabela!$A:$C,3,FALSE),"")</f>
        <v/>
      </c>
      <c r="M48" s="11">
        <f>VLOOKUP(Tabela1[[#This Row],[ANO]]&amp;Tabela1[[#This Row],[Meses]],Tabela!$O:$P,2,FALSE)</f>
        <v>44166</v>
      </c>
      <c r="N48" t="str">
        <f t="shared" si="1"/>
        <v/>
      </c>
      <c r="O48" s="5" t="str">
        <f>IF(Tabela1[[#This Row],[Contas]]="","",IF(Tabela1[[#This Row],[Contas]]="1.01.01.03.01",Tabela1[[#This Row],[Valor Débito]],Tabela1[[#This Row],[Movimento]]))</f>
        <v/>
      </c>
      <c r="P48" s="2" t="str">
        <f>IF(Tabela1[[#This Row],[Contas]]="","",IF(Tabela1[[#This Row],[Tam Conta]]=13,Tabela1[[#This Row],[Descrição Original]],P47))</f>
        <v/>
      </c>
    </row>
    <row r="49" spans="1:16" x14ac:dyDescent="0.35">
      <c r="A49">
        <v>2020</v>
      </c>
      <c r="B49" t="s">
        <v>55</v>
      </c>
      <c r="C49" s="57" t="s">
        <v>454</v>
      </c>
      <c r="D49" s="49" t="s">
        <v>455</v>
      </c>
      <c r="E49" s="50">
        <v>0</v>
      </c>
      <c r="F49" s="50">
        <v>0</v>
      </c>
      <c r="G49" s="50">
        <v>1404365.9</v>
      </c>
      <c r="H49" s="50">
        <f t="shared" si="2"/>
        <v>-1404365.9</v>
      </c>
      <c r="I49" s="50">
        <v>1404365.9</v>
      </c>
      <c r="J49" s="49" t="s">
        <v>3257</v>
      </c>
      <c r="K49">
        <f t="shared" si="0"/>
        <v>10</v>
      </c>
      <c r="L49" t="str">
        <f>IF(Tabela1[[#This Row],[Tam Conta]]=17,VLOOKUP(Tabela1[[#This Row],[Conta]],Tabela!$A:$C,3,FALSE),"")</f>
        <v/>
      </c>
      <c r="M49" s="11">
        <f>VLOOKUP(Tabela1[[#This Row],[ANO]]&amp;Tabela1[[#This Row],[Meses]],Tabela!$O:$P,2,FALSE)</f>
        <v>44166</v>
      </c>
      <c r="N49" t="str">
        <f t="shared" si="1"/>
        <v/>
      </c>
      <c r="O49" s="5" t="str">
        <f>IF(Tabela1[[#This Row],[Contas]]="","",IF(Tabela1[[#This Row],[Contas]]="1.01.01.03.01",Tabela1[[#This Row],[Valor Débito]],Tabela1[[#This Row],[Movimento]]))</f>
        <v/>
      </c>
      <c r="P49" s="2" t="str">
        <f>IF(Tabela1[[#This Row],[Contas]]="","",IF(Tabela1[[#This Row],[Tam Conta]]=13,Tabela1[[#This Row],[Descrição Original]],P48))</f>
        <v/>
      </c>
    </row>
    <row r="50" spans="1:16" x14ac:dyDescent="0.35">
      <c r="A50">
        <v>2020</v>
      </c>
      <c r="B50" t="s">
        <v>55</v>
      </c>
      <c r="C50" s="57" t="s">
        <v>561</v>
      </c>
      <c r="D50" s="49" t="s">
        <v>562</v>
      </c>
      <c r="E50" s="50">
        <v>0</v>
      </c>
      <c r="F50" s="50">
        <v>0</v>
      </c>
      <c r="G50" s="50">
        <v>1403815.76</v>
      </c>
      <c r="H50" s="50">
        <f t="shared" si="2"/>
        <v>-1403815.76</v>
      </c>
      <c r="I50" s="50">
        <v>1403815.76</v>
      </c>
      <c r="J50" s="49" t="s">
        <v>3257</v>
      </c>
      <c r="K50">
        <f t="shared" si="0"/>
        <v>13</v>
      </c>
      <c r="L50" t="str">
        <f>IF(Tabela1[[#This Row],[Tam Conta]]=17,VLOOKUP(Tabela1[[#This Row],[Conta]],Tabela!$A:$C,3,FALSE),"")</f>
        <v/>
      </c>
      <c r="M50" s="11">
        <f>VLOOKUP(Tabela1[[#This Row],[ANO]]&amp;Tabela1[[#This Row],[Meses]],Tabela!$O:$P,2,FALSE)</f>
        <v>44166</v>
      </c>
      <c r="N50" t="str">
        <f t="shared" si="1"/>
        <v>3.01.01.05.03</v>
      </c>
      <c r="O50" s="5">
        <f>IF(Tabela1[[#This Row],[Contas]]="","",IF(Tabela1[[#This Row],[Contas]]="1.01.01.03.01",Tabela1[[#This Row],[Valor Débito]],Tabela1[[#This Row],[Movimento]]))</f>
        <v>-1403815.76</v>
      </c>
      <c r="P50" s="2" t="str">
        <f>IF(Tabela1[[#This Row],[Contas]]="","",IF(Tabela1[[#This Row],[Tam Conta]]=13,Tabela1[[#This Row],[Descrição Original]],P49))</f>
        <v>RECEITAS COM SUBVENCOES</v>
      </c>
    </row>
    <row r="51" spans="1:16" x14ac:dyDescent="0.35">
      <c r="A51">
        <v>2020</v>
      </c>
      <c r="B51" t="s">
        <v>55</v>
      </c>
      <c r="C51" s="53" t="s">
        <v>563</v>
      </c>
      <c r="D51" s="49" t="s">
        <v>564</v>
      </c>
      <c r="E51" s="50">
        <v>0</v>
      </c>
      <c r="F51" s="50">
        <v>0</v>
      </c>
      <c r="G51" s="50">
        <v>1403815.76</v>
      </c>
      <c r="H51" s="50">
        <f t="shared" si="2"/>
        <v>-1403815.76</v>
      </c>
      <c r="I51" s="50">
        <v>1403815.76</v>
      </c>
      <c r="J51" s="49" t="s">
        <v>3257</v>
      </c>
      <c r="K51">
        <f t="shared" si="0"/>
        <v>17</v>
      </c>
      <c r="L51" t="str">
        <f>IF(Tabela1[[#This Row],[Tam Conta]]=17,VLOOKUP(Tabela1[[#This Row],[Conta]],Tabela!$A:$C,3,FALSE),"")</f>
        <v>ESTADUAL</v>
      </c>
      <c r="M51" s="11">
        <f>VLOOKUP(Tabela1[[#This Row],[ANO]]&amp;Tabela1[[#This Row],[Meses]],Tabela!$O:$P,2,FALSE)</f>
        <v>44166</v>
      </c>
      <c r="N51" t="str">
        <f t="shared" si="1"/>
        <v>3.01.01.05.03</v>
      </c>
      <c r="O51" s="5">
        <f>IF(Tabela1[[#This Row],[Contas]]="","",IF(Tabela1[[#This Row],[Contas]]="1.01.01.03.01",Tabela1[[#This Row],[Valor Débito]],Tabela1[[#This Row],[Movimento]]))</f>
        <v>-1403815.76</v>
      </c>
      <c r="P51" s="2" t="str">
        <f>IF(Tabela1[[#This Row],[Contas]]="","",IF(Tabela1[[#This Row],[Tam Conta]]=13,Tabela1[[#This Row],[Descrição Original]],P50))</f>
        <v>RECEITAS COM SUBVENCOES</v>
      </c>
    </row>
    <row r="52" spans="1:16" x14ac:dyDescent="0.35">
      <c r="A52">
        <v>2020</v>
      </c>
      <c r="B52" t="s">
        <v>55</v>
      </c>
      <c r="C52" s="57" t="s">
        <v>470</v>
      </c>
      <c r="D52" s="49" t="s">
        <v>471</v>
      </c>
      <c r="E52" s="50">
        <v>0</v>
      </c>
      <c r="F52" s="50">
        <v>0</v>
      </c>
      <c r="G52" s="50">
        <v>550.14</v>
      </c>
      <c r="H52" s="50">
        <f t="shared" si="2"/>
        <v>-550.14</v>
      </c>
      <c r="I52" s="50">
        <v>550.14</v>
      </c>
      <c r="J52" s="49" t="s">
        <v>3257</v>
      </c>
      <c r="K52">
        <f t="shared" si="0"/>
        <v>13</v>
      </c>
      <c r="L52" t="str">
        <f>IF(Tabela1[[#This Row],[Tam Conta]]=17,VLOOKUP(Tabela1[[#This Row],[Conta]],Tabela!$A:$C,3,FALSE),"")</f>
        <v/>
      </c>
      <c r="M52" s="11">
        <f>VLOOKUP(Tabela1[[#This Row],[ANO]]&amp;Tabela1[[#This Row],[Meses]],Tabela!$O:$P,2,FALSE)</f>
        <v>44166</v>
      </c>
      <c r="N52" t="str">
        <f t="shared" si="1"/>
        <v>3.01.01.05.05</v>
      </c>
      <c r="O52" s="5">
        <f>IF(Tabela1[[#This Row],[Contas]]="","",IF(Tabela1[[#This Row],[Contas]]="1.01.01.03.01",Tabela1[[#This Row],[Valor Débito]],Tabela1[[#This Row],[Movimento]]))</f>
        <v>-550.14</v>
      </c>
      <c r="P52" s="2" t="str">
        <f>IF(Tabela1[[#This Row],[Contas]]="","",IF(Tabela1[[#This Row],[Tam Conta]]=13,Tabela1[[#This Row],[Descrição Original]],P51))</f>
        <v>RECEITAS DIVERSAS</v>
      </c>
    </row>
    <row r="53" spans="1:16" x14ac:dyDescent="0.35">
      <c r="A53">
        <v>2020</v>
      </c>
      <c r="B53" t="s">
        <v>55</v>
      </c>
      <c r="C53" s="57" t="s">
        <v>472</v>
      </c>
      <c r="D53" s="49" t="s">
        <v>473</v>
      </c>
      <c r="E53" s="50">
        <v>0</v>
      </c>
      <c r="F53" s="50">
        <v>0</v>
      </c>
      <c r="G53" s="50">
        <v>550.14</v>
      </c>
      <c r="H53" s="50">
        <f t="shared" si="2"/>
        <v>-550.14</v>
      </c>
      <c r="I53" s="50">
        <v>550.14</v>
      </c>
      <c r="J53" s="49" t="s">
        <v>3257</v>
      </c>
      <c r="K53">
        <f t="shared" si="0"/>
        <v>17</v>
      </c>
      <c r="L53" t="str">
        <f>IF(Tabela1[[#This Row],[Tam Conta]]=17,VLOOKUP(Tabela1[[#This Row],[Conta]],Tabela!$A:$C,3,FALSE),"")</f>
        <v>RECUPERACAO DE DESP. C/ PESSOAL</v>
      </c>
      <c r="M53" s="11">
        <f>VLOOKUP(Tabela1[[#This Row],[ANO]]&amp;Tabela1[[#This Row],[Meses]],Tabela!$O:$P,2,FALSE)</f>
        <v>44166</v>
      </c>
      <c r="N53" t="str">
        <f t="shared" si="1"/>
        <v>3.01.01.05.05</v>
      </c>
      <c r="O53" s="5">
        <f>IF(Tabela1[[#This Row],[Contas]]="","",IF(Tabela1[[#This Row],[Contas]]="1.01.01.03.01",Tabela1[[#This Row],[Valor Débito]],Tabela1[[#This Row],[Movimento]]))</f>
        <v>-550.14</v>
      </c>
      <c r="P53" s="2" t="str">
        <f>IF(Tabela1[[#This Row],[Contas]]="","",IF(Tabela1[[#This Row],[Tam Conta]]=13,Tabela1[[#This Row],[Descrição Original]],P52))</f>
        <v>RECEITAS DIVERSAS</v>
      </c>
    </row>
    <row r="54" spans="1:16" x14ac:dyDescent="0.35">
      <c r="A54">
        <v>2020</v>
      </c>
      <c r="B54" t="s">
        <v>55</v>
      </c>
      <c r="C54" s="57" t="s">
        <v>475</v>
      </c>
      <c r="D54" s="49" t="s">
        <v>476</v>
      </c>
      <c r="E54" s="50">
        <v>0</v>
      </c>
      <c r="F54" s="50">
        <v>0</v>
      </c>
      <c r="G54" s="50">
        <v>29280.400000000001</v>
      </c>
      <c r="H54" s="50">
        <f t="shared" si="2"/>
        <v>-29280.400000000001</v>
      </c>
      <c r="I54" s="50">
        <v>29280.400000000001</v>
      </c>
      <c r="J54" s="49" t="s">
        <v>3257</v>
      </c>
      <c r="K54">
        <f t="shared" si="0"/>
        <v>10</v>
      </c>
      <c r="L54" t="str">
        <f>IF(Tabela1[[#This Row],[Tam Conta]]=17,VLOOKUP(Tabela1[[#This Row],[Conta]],Tabela!$A:$C,3,FALSE),"")</f>
        <v/>
      </c>
      <c r="M54" s="11">
        <f>VLOOKUP(Tabela1[[#This Row],[ANO]]&amp;Tabela1[[#This Row],[Meses]],Tabela!$O:$P,2,FALSE)</f>
        <v>44166</v>
      </c>
      <c r="N54" t="str">
        <f t="shared" si="1"/>
        <v/>
      </c>
      <c r="O54" s="5" t="str">
        <f>IF(Tabela1[[#This Row],[Contas]]="","",IF(Tabela1[[#This Row],[Contas]]="1.01.01.03.01",Tabela1[[#This Row],[Valor Débito]],Tabela1[[#This Row],[Movimento]]))</f>
        <v/>
      </c>
      <c r="P54" s="2" t="str">
        <f>IF(Tabela1[[#This Row],[Contas]]="","",IF(Tabela1[[#This Row],[Tam Conta]]=13,Tabela1[[#This Row],[Descrição Original]],P53))</f>
        <v/>
      </c>
    </row>
    <row r="55" spans="1:16" x14ac:dyDescent="0.35">
      <c r="A55">
        <v>2020</v>
      </c>
      <c r="B55" t="s">
        <v>55</v>
      </c>
      <c r="C55" s="57" t="s">
        <v>477</v>
      </c>
      <c r="D55" s="49" t="s">
        <v>476</v>
      </c>
      <c r="E55" s="50">
        <v>0</v>
      </c>
      <c r="F55" s="50">
        <v>0</v>
      </c>
      <c r="G55" s="50">
        <v>29280.400000000001</v>
      </c>
      <c r="H55" s="50">
        <f t="shared" si="2"/>
        <v>-29280.400000000001</v>
      </c>
      <c r="I55" s="50">
        <v>29280.400000000001</v>
      </c>
      <c r="J55" s="49" t="s">
        <v>3257</v>
      </c>
      <c r="K55">
        <f t="shared" si="0"/>
        <v>13</v>
      </c>
      <c r="L55" t="str">
        <f>IF(Tabela1[[#This Row],[Tam Conta]]=17,VLOOKUP(Tabela1[[#This Row],[Conta]],Tabela!$A:$C,3,FALSE),"")</f>
        <v/>
      </c>
      <c r="M55" s="11">
        <f>VLOOKUP(Tabela1[[#This Row],[ANO]]&amp;Tabela1[[#This Row],[Meses]],Tabela!$O:$P,2,FALSE)</f>
        <v>44166</v>
      </c>
      <c r="N55" t="str">
        <f t="shared" si="1"/>
        <v>3.01.01.06.01</v>
      </c>
      <c r="O55" s="5">
        <f>IF(Tabela1[[#This Row],[Contas]]="","",IF(Tabela1[[#This Row],[Contas]]="1.01.01.03.01",Tabela1[[#This Row],[Valor Débito]],Tabela1[[#This Row],[Movimento]]))</f>
        <v>-29280.400000000001</v>
      </c>
      <c r="P55" s="2" t="str">
        <f>IF(Tabela1[[#This Row],[Contas]]="","",IF(Tabela1[[#This Row],[Tam Conta]]=13,Tabela1[[#This Row],[Descrição Original]],P54))</f>
        <v>RECEITAS FINANCEIRAS</v>
      </c>
    </row>
    <row r="56" spans="1:16" x14ac:dyDescent="0.35">
      <c r="A56">
        <v>2020</v>
      </c>
      <c r="B56" t="s">
        <v>55</v>
      </c>
      <c r="C56" s="57" t="s">
        <v>480</v>
      </c>
      <c r="D56" s="49" t="s">
        <v>481</v>
      </c>
      <c r="E56" s="50">
        <v>0</v>
      </c>
      <c r="F56" s="50">
        <v>0</v>
      </c>
      <c r="G56" s="50">
        <v>29280.400000000001</v>
      </c>
      <c r="H56" s="50">
        <f t="shared" si="2"/>
        <v>-29280.400000000001</v>
      </c>
      <c r="I56" s="50">
        <v>29280.400000000001</v>
      </c>
      <c r="J56" s="49" t="s">
        <v>3257</v>
      </c>
      <c r="K56">
        <f t="shared" si="0"/>
        <v>17</v>
      </c>
      <c r="L56" t="str">
        <f>IF(Tabela1[[#This Row],[Tam Conta]]=17,VLOOKUP(Tabela1[[#This Row],[Conta]],Tabela!$A:$C,3,FALSE),"")</f>
        <v>RENDIM. APLICACOES FINANCEIRAS</v>
      </c>
      <c r="M56" s="11">
        <f>VLOOKUP(Tabela1[[#This Row],[ANO]]&amp;Tabela1[[#This Row],[Meses]],Tabela!$O:$P,2,FALSE)</f>
        <v>44166</v>
      </c>
      <c r="N56" t="str">
        <f t="shared" si="1"/>
        <v>3.01.01.06.01</v>
      </c>
      <c r="O56" s="5">
        <f>IF(Tabela1[[#This Row],[Contas]]="","",IF(Tabela1[[#This Row],[Contas]]="1.01.01.03.01",Tabela1[[#This Row],[Valor Débito]],Tabela1[[#This Row],[Movimento]]))</f>
        <v>-29280.400000000001</v>
      </c>
      <c r="P56" s="2" t="str">
        <f>IF(Tabela1[[#This Row],[Contas]]="","",IF(Tabela1[[#This Row],[Tam Conta]]=13,Tabela1[[#This Row],[Descrição Original]],P55))</f>
        <v>RECEITAS FINANCEIRAS</v>
      </c>
    </row>
    <row r="57" spans="1:16" x14ac:dyDescent="0.35">
      <c r="A57">
        <v>2020</v>
      </c>
      <c r="B57" t="s">
        <v>55</v>
      </c>
      <c r="C57" s="57" t="s">
        <v>3258</v>
      </c>
      <c r="D57" s="49" t="s">
        <v>56</v>
      </c>
      <c r="E57" s="50">
        <v>0</v>
      </c>
      <c r="F57" s="50">
        <v>1919500.79</v>
      </c>
      <c r="G57" s="50">
        <v>5947.83</v>
      </c>
      <c r="H57" s="50">
        <f t="shared" si="2"/>
        <v>1913552.96</v>
      </c>
      <c r="I57" s="50">
        <v>1913552.96</v>
      </c>
      <c r="J57" s="49" t="s">
        <v>57</v>
      </c>
      <c r="K57">
        <f t="shared" si="0"/>
        <v>1</v>
      </c>
      <c r="L57" t="str">
        <f>IF(Tabela1[[#This Row],[Tam Conta]]=17,VLOOKUP(Tabela1[[#This Row],[Conta]],Tabela!$A:$C,3,FALSE),"")</f>
        <v/>
      </c>
      <c r="M57" s="11">
        <f>VLOOKUP(Tabela1[[#This Row],[ANO]]&amp;Tabela1[[#This Row],[Meses]],Tabela!$O:$P,2,FALSE)</f>
        <v>44166</v>
      </c>
      <c r="N57" t="str">
        <f t="shared" si="1"/>
        <v/>
      </c>
      <c r="O57" s="5" t="str">
        <f>IF(Tabela1[[#This Row],[Contas]]="","",IF(Tabela1[[#This Row],[Contas]]="1.01.01.03.01",Tabela1[[#This Row],[Valor Débito]],Tabela1[[#This Row],[Movimento]]))</f>
        <v/>
      </c>
      <c r="P57" s="2" t="str">
        <f>IF(Tabela1[[#This Row],[Contas]]="","",IF(Tabela1[[#This Row],[Tam Conta]]=13,Tabela1[[#This Row],[Descrição Original]],P56))</f>
        <v/>
      </c>
    </row>
    <row r="58" spans="1:16" x14ac:dyDescent="0.35">
      <c r="A58">
        <v>2020</v>
      </c>
      <c r="B58" t="s">
        <v>55</v>
      </c>
      <c r="C58" s="57" t="s">
        <v>58</v>
      </c>
      <c r="D58" s="49" t="s">
        <v>59</v>
      </c>
      <c r="E58" s="50">
        <v>0</v>
      </c>
      <c r="F58" s="50">
        <v>1919500.79</v>
      </c>
      <c r="G58" s="50">
        <v>5947.83</v>
      </c>
      <c r="H58" s="50">
        <f t="shared" si="2"/>
        <v>1913552.96</v>
      </c>
      <c r="I58" s="50">
        <v>1913552.96</v>
      </c>
      <c r="J58" s="49" t="s">
        <v>57</v>
      </c>
      <c r="K58">
        <f t="shared" si="0"/>
        <v>4</v>
      </c>
      <c r="L58" t="str">
        <f>IF(Tabela1[[#This Row],[Tam Conta]]=17,VLOOKUP(Tabela1[[#This Row],[Conta]],Tabela!$A:$C,3,FALSE),"")</f>
        <v/>
      </c>
      <c r="M58" s="11">
        <f>VLOOKUP(Tabela1[[#This Row],[ANO]]&amp;Tabela1[[#This Row],[Meses]],Tabela!$O:$P,2,FALSE)</f>
        <v>44166</v>
      </c>
      <c r="N58" t="str">
        <f t="shared" si="1"/>
        <v/>
      </c>
      <c r="O58" s="5" t="str">
        <f>IF(Tabela1[[#This Row],[Contas]]="","",IF(Tabela1[[#This Row],[Contas]]="1.01.01.03.01",Tabela1[[#This Row],[Valor Débito]],Tabela1[[#This Row],[Movimento]]))</f>
        <v/>
      </c>
      <c r="P58" s="2" t="str">
        <f>IF(Tabela1[[#This Row],[Contas]]="","",IF(Tabela1[[#This Row],[Tam Conta]]=13,Tabela1[[#This Row],[Descrição Original]],P57))</f>
        <v/>
      </c>
    </row>
    <row r="59" spans="1:16" x14ac:dyDescent="0.35">
      <c r="A59">
        <v>2020</v>
      </c>
      <c r="B59" t="s">
        <v>55</v>
      </c>
      <c r="C59" s="57" t="s">
        <v>60</v>
      </c>
      <c r="D59" s="49" t="s">
        <v>61</v>
      </c>
      <c r="E59" s="50">
        <v>0</v>
      </c>
      <c r="F59" s="50">
        <v>1919500.79</v>
      </c>
      <c r="G59" s="50">
        <v>5947.83</v>
      </c>
      <c r="H59" s="50">
        <f t="shared" si="2"/>
        <v>1913552.96</v>
      </c>
      <c r="I59" s="50">
        <v>1913552.96</v>
      </c>
      <c r="J59" s="49" t="s">
        <v>57</v>
      </c>
      <c r="K59">
        <f t="shared" si="0"/>
        <v>7</v>
      </c>
      <c r="L59" t="str">
        <f>IF(Tabela1[[#This Row],[Tam Conta]]=17,VLOOKUP(Tabela1[[#This Row],[Conta]],Tabela!$A:$C,3,FALSE),"")</f>
        <v/>
      </c>
      <c r="M59" s="11">
        <f>VLOOKUP(Tabela1[[#This Row],[ANO]]&amp;Tabela1[[#This Row],[Meses]],Tabela!$O:$P,2,FALSE)</f>
        <v>44166</v>
      </c>
      <c r="N59" t="str">
        <f t="shared" si="1"/>
        <v/>
      </c>
      <c r="O59" s="5" t="str">
        <f>IF(Tabela1[[#This Row],[Contas]]="","",IF(Tabela1[[#This Row],[Contas]]="1.01.01.03.01",Tabela1[[#This Row],[Valor Débito]],Tabela1[[#This Row],[Movimento]]))</f>
        <v/>
      </c>
      <c r="P59" s="2" t="str">
        <f>IF(Tabela1[[#This Row],[Contas]]="","",IF(Tabela1[[#This Row],[Tam Conta]]=13,Tabela1[[#This Row],[Descrição Original]],P58))</f>
        <v/>
      </c>
    </row>
    <row r="60" spans="1:16" x14ac:dyDescent="0.35">
      <c r="A60">
        <v>2020</v>
      </c>
      <c r="B60" t="s">
        <v>55</v>
      </c>
      <c r="C60" s="57" t="s">
        <v>62</v>
      </c>
      <c r="D60" s="49" t="s">
        <v>63</v>
      </c>
      <c r="E60" s="50">
        <v>0</v>
      </c>
      <c r="F60" s="50">
        <v>1919500.79</v>
      </c>
      <c r="G60" s="50">
        <v>5947.83</v>
      </c>
      <c r="H60" s="50">
        <f t="shared" si="2"/>
        <v>1913552.96</v>
      </c>
      <c r="I60" s="50">
        <v>1913552.96</v>
      </c>
      <c r="J60" s="49" t="s">
        <v>57</v>
      </c>
      <c r="K60">
        <f t="shared" si="0"/>
        <v>10</v>
      </c>
      <c r="L60" t="str">
        <f>IF(Tabela1[[#This Row],[Tam Conta]]=17,VLOOKUP(Tabela1[[#This Row],[Conta]],Tabela!$A:$C,3,FALSE),"")</f>
        <v/>
      </c>
      <c r="M60" s="11">
        <f>VLOOKUP(Tabela1[[#This Row],[ANO]]&amp;Tabela1[[#This Row],[Meses]],Tabela!$O:$P,2,FALSE)</f>
        <v>44166</v>
      </c>
      <c r="N60" t="str">
        <f t="shared" si="1"/>
        <v/>
      </c>
      <c r="O60" s="5" t="str">
        <f>IF(Tabela1[[#This Row],[Contas]]="","",IF(Tabela1[[#This Row],[Contas]]="1.01.01.03.01",Tabela1[[#This Row],[Valor Débito]],Tabela1[[#This Row],[Movimento]]))</f>
        <v/>
      </c>
      <c r="P60" s="2" t="str">
        <f>IF(Tabela1[[#This Row],[Contas]]="","",IF(Tabela1[[#This Row],[Tam Conta]]=13,Tabela1[[#This Row],[Descrição Original]],P59))</f>
        <v/>
      </c>
    </row>
    <row r="61" spans="1:16" x14ac:dyDescent="0.35">
      <c r="A61">
        <v>2020</v>
      </c>
      <c r="B61" t="s">
        <v>55</v>
      </c>
      <c r="C61" s="57" t="s">
        <v>64</v>
      </c>
      <c r="D61" s="49" t="s">
        <v>65</v>
      </c>
      <c r="E61" s="50">
        <v>0</v>
      </c>
      <c r="F61" s="50">
        <v>1838459.45</v>
      </c>
      <c r="G61" s="50">
        <v>5947.83</v>
      </c>
      <c r="H61" s="50">
        <f t="shared" si="2"/>
        <v>1832511.6199999999</v>
      </c>
      <c r="I61" s="50">
        <v>1832511.62</v>
      </c>
      <c r="J61" s="49" t="s">
        <v>57</v>
      </c>
      <c r="K61">
        <f t="shared" si="0"/>
        <v>13</v>
      </c>
      <c r="L61" t="str">
        <f>IF(Tabela1[[#This Row],[Tam Conta]]=17,VLOOKUP(Tabela1[[#This Row],[Conta]],Tabela!$A:$C,3,FALSE),"")</f>
        <v/>
      </c>
      <c r="M61" s="11">
        <f>VLOOKUP(Tabela1[[#This Row],[ANO]]&amp;Tabela1[[#This Row],[Meses]],Tabela!$O:$P,2,FALSE)</f>
        <v>44166</v>
      </c>
      <c r="N61" t="str">
        <f t="shared" si="1"/>
        <v>4.01.01.01.01</v>
      </c>
      <c r="O61" s="5">
        <f>IF(Tabela1[[#This Row],[Contas]]="","",IF(Tabela1[[#This Row],[Contas]]="1.01.01.03.01",Tabela1[[#This Row],[Valor Débito]],Tabela1[[#This Row],[Movimento]]))</f>
        <v>1832511.6199999999</v>
      </c>
      <c r="P61" s="2" t="str">
        <f>IF(Tabela1[[#This Row],[Contas]]="","",IF(Tabela1[[#This Row],[Tam Conta]]=13,Tabela1[[#This Row],[Descrição Original]],P60))</f>
        <v>PESSOAL SERV. PROPRIOS</v>
      </c>
    </row>
    <row r="62" spans="1:16" x14ac:dyDescent="0.35">
      <c r="A62">
        <v>2020</v>
      </c>
      <c r="B62" t="s">
        <v>55</v>
      </c>
      <c r="C62" s="57" t="s">
        <v>66</v>
      </c>
      <c r="D62" s="49" t="s">
        <v>15</v>
      </c>
      <c r="E62" s="50">
        <v>0</v>
      </c>
      <c r="F62" s="50">
        <v>1087683.46</v>
      </c>
      <c r="G62" s="50">
        <v>0</v>
      </c>
      <c r="H62" s="50">
        <f t="shared" si="2"/>
        <v>1087683.46</v>
      </c>
      <c r="I62" s="50">
        <v>1087683.46</v>
      </c>
      <c r="J62" s="49" t="s">
        <v>57</v>
      </c>
      <c r="K62">
        <f t="shared" si="0"/>
        <v>17</v>
      </c>
      <c r="L62" t="str">
        <f>IF(Tabela1[[#This Row],[Tam Conta]]=17,VLOOKUP(Tabela1[[#This Row],[Conta]],Tabela!$A:$C,3,FALSE),"")</f>
        <v>ORDENADOS</v>
      </c>
      <c r="M62" s="11">
        <f>VLOOKUP(Tabela1[[#This Row],[ANO]]&amp;Tabela1[[#This Row],[Meses]],Tabela!$O:$P,2,FALSE)</f>
        <v>44166</v>
      </c>
      <c r="N62" t="str">
        <f t="shared" si="1"/>
        <v>4.01.01.01.01</v>
      </c>
      <c r="O62" s="5">
        <f>IF(Tabela1[[#This Row],[Contas]]="","",IF(Tabela1[[#This Row],[Contas]]="1.01.01.03.01",Tabela1[[#This Row],[Valor Débito]],Tabela1[[#This Row],[Movimento]]))</f>
        <v>1087683.46</v>
      </c>
      <c r="P62" s="2" t="str">
        <f>IF(Tabela1[[#This Row],[Contas]]="","",IF(Tabela1[[#This Row],[Tam Conta]]=13,Tabela1[[#This Row],[Descrição Original]],P61))</f>
        <v>PESSOAL SERV. PROPRIOS</v>
      </c>
    </row>
    <row r="63" spans="1:16" x14ac:dyDescent="0.35">
      <c r="A63">
        <v>2020</v>
      </c>
      <c r="B63" t="s">
        <v>55</v>
      </c>
      <c r="C63" s="57" t="s">
        <v>67</v>
      </c>
      <c r="D63" s="49" t="s">
        <v>19</v>
      </c>
      <c r="E63" s="50">
        <v>0</v>
      </c>
      <c r="F63" s="50">
        <v>89595.17</v>
      </c>
      <c r="G63" s="50">
        <v>0</v>
      </c>
      <c r="H63" s="50">
        <f t="shared" si="2"/>
        <v>89595.17</v>
      </c>
      <c r="I63" s="50">
        <v>89595.17</v>
      </c>
      <c r="J63" s="49" t="s">
        <v>57</v>
      </c>
      <c r="K63">
        <f t="shared" si="0"/>
        <v>17</v>
      </c>
      <c r="L63" t="str">
        <f>IF(Tabela1[[#This Row],[Tam Conta]]=17,VLOOKUP(Tabela1[[#This Row],[Conta]],Tabela!$A:$C,3,FALSE),"")</f>
        <v>13 SALARIO</v>
      </c>
      <c r="M63" s="11">
        <f>VLOOKUP(Tabela1[[#This Row],[ANO]]&amp;Tabela1[[#This Row],[Meses]],Tabela!$O:$P,2,FALSE)</f>
        <v>44166</v>
      </c>
      <c r="N63" t="str">
        <f t="shared" si="1"/>
        <v>4.01.01.01.01</v>
      </c>
      <c r="O63" s="5">
        <f>IF(Tabela1[[#This Row],[Contas]]="","",IF(Tabela1[[#This Row],[Contas]]="1.01.01.03.01",Tabela1[[#This Row],[Valor Débito]],Tabela1[[#This Row],[Movimento]]))</f>
        <v>89595.17</v>
      </c>
      <c r="P63" s="2" t="str">
        <f>IF(Tabela1[[#This Row],[Contas]]="","",IF(Tabela1[[#This Row],[Tam Conta]]=13,Tabela1[[#This Row],[Descrição Original]],P62))</f>
        <v>PESSOAL SERV. PROPRIOS</v>
      </c>
    </row>
    <row r="64" spans="1:16" x14ac:dyDescent="0.35">
      <c r="A64">
        <v>2020</v>
      </c>
      <c r="B64" t="s">
        <v>55</v>
      </c>
      <c r="C64" s="57" t="s">
        <v>68</v>
      </c>
      <c r="D64" s="49" t="s">
        <v>20</v>
      </c>
      <c r="E64" s="50">
        <v>0</v>
      </c>
      <c r="F64" s="50">
        <v>128311.63</v>
      </c>
      <c r="G64" s="50">
        <v>4253.18</v>
      </c>
      <c r="H64" s="50">
        <f t="shared" si="2"/>
        <v>124058.45000000001</v>
      </c>
      <c r="I64" s="50">
        <v>124058.45</v>
      </c>
      <c r="J64" s="49" t="s">
        <v>57</v>
      </c>
      <c r="K64">
        <f t="shared" si="0"/>
        <v>17</v>
      </c>
      <c r="L64" t="str">
        <f>IF(Tabela1[[#This Row],[Tam Conta]]=17,VLOOKUP(Tabela1[[#This Row],[Conta]],Tabela!$A:$C,3,FALSE),"")</f>
        <v>FERIAS</v>
      </c>
      <c r="M64" s="11">
        <f>VLOOKUP(Tabela1[[#This Row],[ANO]]&amp;Tabela1[[#This Row],[Meses]],Tabela!$O:$P,2,FALSE)</f>
        <v>44166</v>
      </c>
      <c r="N64" t="str">
        <f t="shared" si="1"/>
        <v>4.01.01.01.01</v>
      </c>
      <c r="O64" s="5">
        <f>IF(Tabela1[[#This Row],[Contas]]="","",IF(Tabela1[[#This Row],[Contas]]="1.01.01.03.01",Tabela1[[#This Row],[Valor Débito]],Tabela1[[#This Row],[Movimento]]))</f>
        <v>124058.45000000001</v>
      </c>
      <c r="P64" s="2" t="str">
        <f>IF(Tabela1[[#This Row],[Contas]]="","",IF(Tabela1[[#This Row],[Tam Conta]]=13,Tabela1[[#This Row],[Descrição Original]],P63))</f>
        <v>PESSOAL SERV. PROPRIOS</v>
      </c>
    </row>
    <row r="65" spans="1:16" x14ac:dyDescent="0.35">
      <c r="A65">
        <v>2020</v>
      </c>
      <c r="B65" t="s">
        <v>55</v>
      </c>
      <c r="C65" s="57" t="s">
        <v>69</v>
      </c>
      <c r="D65" s="49" t="s">
        <v>23</v>
      </c>
      <c r="E65" s="50">
        <v>0</v>
      </c>
      <c r="F65" s="50">
        <v>837.4</v>
      </c>
      <c r="G65" s="50">
        <v>0</v>
      </c>
      <c r="H65" s="50">
        <f t="shared" si="2"/>
        <v>837.4</v>
      </c>
      <c r="I65" s="50">
        <v>837.4</v>
      </c>
      <c r="J65" s="49" t="s">
        <v>57</v>
      </c>
      <c r="K65">
        <f t="shared" si="0"/>
        <v>17</v>
      </c>
      <c r="L65" t="str">
        <f>IF(Tabela1[[#This Row],[Tam Conta]]=17,VLOOKUP(Tabela1[[#This Row],[Conta]],Tabela!$A:$C,3,FALSE),"")</f>
        <v>INDENIZACAO E AVISOS PREVIOS</v>
      </c>
      <c r="M65" s="11">
        <f>VLOOKUP(Tabela1[[#This Row],[ANO]]&amp;Tabela1[[#This Row],[Meses]],Tabela!$O:$P,2,FALSE)</f>
        <v>44166</v>
      </c>
      <c r="N65" t="str">
        <f t="shared" si="1"/>
        <v>4.01.01.01.01</v>
      </c>
      <c r="O65" s="5">
        <f>IF(Tabela1[[#This Row],[Contas]]="","",IF(Tabela1[[#This Row],[Contas]]="1.01.01.03.01",Tabela1[[#This Row],[Valor Débito]],Tabela1[[#This Row],[Movimento]]))</f>
        <v>837.4</v>
      </c>
      <c r="P65" s="2" t="str">
        <f>IF(Tabela1[[#This Row],[Contas]]="","",IF(Tabela1[[#This Row],[Tam Conta]]=13,Tabela1[[#This Row],[Descrição Original]],P64))</f>
        <v>PESSOAL SERV. PROPRIOS</v>
      </c>
    </row>
    <row r="66" spans="1:16" x14ac:dyDescent="0.35">
      <c r="A66">
        <v>2020</v>
      </c>
      <c r="B66" t="s">
        <v>55</v>
      </c>
      <c r="C66" s="57" t="s">
        <v>70</v>
      </c>
      <c r="D66" s="49" t="s">
        <v>11</v>
      </c>
      <c r="E66" s="50">
        <v>0</v>
      </c>
      <c r="F66" s="50">
        <v>104563.02</v>
      </c>
      <c r="G66" s="50">
        <v>368.4</v>
      </c>
      <c r="H66" s="50">
        <f t="shared" si="2"/>
        <v>104194.62000000001</v>
      </c>
      <c r="I66" s="50">
        <v>104194.62</v>
      </c>
      <c r="J66" s="49" t="s">
        <v>57</v>
      </c>
      <c r="K66">
        <f t="shared" si="0"/>
        <v>17</v>
      </c>
      <c r="L66" t="str">
        <f>IF(Tabela1[[#This Row],[Tam Conta]]=17,VLOOKUP(Tabela1[[#This Row],[Conta]],Tabela!$A:$C,3,FALSE),"")</f>
        <v>CONTRIBUICOES AO FGTS</v>
      </c>
      <c r="M66" s="11">
        <f>VLOOKUP(Tabela1[[#This Row],[ANO]]&amp;Tabela1[[#This Row],[Meses]],Tabela!$O:$P,2,FALSE)</f>
        <v>44166</v>
      </c>
      <c r="N66" t="str">
        <f t="shared" si="1"/>
        <v>4.01.01.01.01</v>
      </c>
      <c r="O66" s="5">
        <f>IF(Tabela1[[#This Row],[Contas]]="","",IF(Tabela1[[#This Row],[Contas]]="1.01.01.03.01",Tabela1[[#This Row],[Valor Débito]],Tabela1[[#This Row],[Movimento]]))</f>
        <v>104194.62000000001</v>
      </c>
      <c r="P66" s="2" t="str">
        <f>IF(Tabela1[[#This Row],[Contas]]="","",IF(Tabela1[[#This Row],[Tam Conta]]=13,Tabela1[[#This Row],[Descrição Original]],P65))</f>
        <v>PESSOAL SERV. PROPRIOS</v>
      </c>
    </row>
    <row r="67" spans="1:16" x14ac:dyDescent="0.35">
      <c r="A67">
        <v>2020</v>
      </c>
      <c r="B67" t="s">
        <v>55</v>
      </c>
      <c r="C67" s="57" t="s">
        <v>71</v>
      </c>
      <c r="D67" s="49" t="s">
        <v>12</v>
      </c>
      <c r="E67" s="50">
        <v>0</v>
      </c>
      <c r="F67" s="50">
        <v>13055.74</v>
      </c>
      <c r="G67" s="50">
        <v>46.05</v>
      </c>
      <c r="H67" s="50">
        <f t="shared" si="2"/>
        <v>13009.69</v>
      </c>
      <c r="I67" s="50">
        <v>13009.69</v>
      </c>
      <c r="J67" s="49" t="s">
        <v>57</v>
      </c>
      <c r="K67">
        <f t="shared" si="0"/>
        <v>17</v>
      </c>
      <c r="L67" t="str">
        <f>IF(Tabela1[[#This Row],[Tam Conta]]=17,VLOOKUP(Tabela1[[#This Row],[Conta]],Tabela!$A:$C,3,FALSE),"")</f>
        <v>CONTRIBUICOES AO PIS</v>
      </c>
      <c r="M67" s="11">
        <f>VLOOKUP(Tabela1[[#This Row],[ANO]]&amp;Tabela1[[#This Row],[Meses]],Tabela!$O:$P,2,FALSE)</f>
        <v>44166</v>
      </c>
      <c r="N67" t="str">
        <f t="shared" si="1"/>
        <v>4.01.01.01.01</v>
      </c>
      <c r="O67" s="5">
        <f>IF(Tabela1[[#This Row],[Contas]]="","",IF(Tabela1[[#This Row],[Contas]]="1.01.01.03.01",Tabela1[[#This Row],[Valor Débito]],Tabela1[[#This Row],[Movimento]]))</f>
        <v>13009.69</v>
      </c>
      <c r="P67" s="2" t="str">
        <f>IF(Tabela1[[#This Row],[Contas]]="","",IF(Tabela1[[#This Row],[Tam Conta]]=13,Tabela1[[#This Row],[Descrição Original]],P66))</f>
        <v>PESSOAL SERV. PROPRIOS</v>
      </c>
    </row>
    <row r="68" spans="1:16" x14ac:dyDescent="0.35">
      <c r="A68">
        <v>2020</v>
      </c>
      <c r="B68" t="s">
        <v>55</v>
      </c>
      <c r="C68" s="57" t="s">
        <v>72</v>
      </c>
      <c r="D68" s="49" t="s">
        <v>18</v>
      </c>
      <c r="E68" s="50">
        <v>0</v>
      </c>
      <c r="F68" s="50">
        <v>1170</v>
      </c>
      <c r="G68" s="50">
        <v>0</v>
      </c>
      <c r="H68" s="50">
        <f t="shared" si="2"/>
        <v>1170</v>
      </c>
      <c r="I68" s="50">
        <v>1170</v>
      </c>
      <c r="J68" s="49" t="s">
        <v>57</v>
      </c>
      <c r="K68">
        <f t="shared" si="0"/>
        <v>17</v>
      </c>
      <c r="L68" t="str">
        <f>IF(Tabela1[[#This Row],[Tam Conta]]=17,VLOOKUP(Tabela1[[#This Row],[Conta]],Tabela!$A:$C,3,FALSE),"")</f>
        <v>VALE TRANSPORTE</v>
      </c>
      <c r="M68" s="11">
        <f>VLOOKUP(Tabela1[[#This Row],[ANO]]&amp;Tabela1[[#This Row],[Meses]],Tabela!$O:$P,2,FALSE)</f>
        <v>44166</v>
      </c>
      <c r="N68" t="str">
        <f t="shared" si="1"/>
        <v>4.01.01.01.01</v>
      </c>
      <c r="O68" s="5">
        <f>IF(Tabela1[[#This Row],[Contas]]="","",IF(Tabela1[[#This Row],[Contas]]="1.01.01.03.01",Tabela1[[#This Row],[Valor Débito]],Tabela1[[#This Row],[Movimento]]))</f>
        <v>1170</v>
      </c>
      <c r="P68" s="2" t="str">
        <f>IF(Tabela1[[#This Row],[Contas]]="","",IF(Tabela1[[#This Row],[Tam Conta]]=13,Tabela1[[#This Row],[Descrição Original]],P67))</f>
        <v>PESSOAL SERV. PROPRIOS</v>
      </c>
    </row>
    <row r="69" spans="1:16" x14ac:dyDescent="0.35">
      <c r="A69">
        <v>2020</v>
      </c>
      <c r="B69" t="s">
        <v>55</v>
      </c>
      <c r="C69" s="57" t="s">
        <v>73</v>
      </c>
      <c r="D69" s="49" t="s">
        <v>10</v>
      </c>
      <c r="E69" s="50">
        <v>0</v>
      </c>
      <c r="F69" s="50">
        <v>261118.19</v>
      </c>
      <c r="G69" s="50">
        <v>921.01</v>
      </c>
      <c r="H69" s="50">
        <f t="shared" si="2"/>
        <v>260197.18</v>
      </c>
      <c r="I69" s="50">
        <v>260197.18</v>
      </c>
      <c r="J69" s="49" t="s">
        <v>57</v>
      </c>
      <c r="K69">
        <f t="shared" si="0"/>
        <v>17</v>
      </c>
      <c r="L69" t="str">
        <f>IF(Tabela1[[#This Row],[Tam Conta]]=17,VLOOKUP(Tabela1[[#This Row],[Conta]],Tabela!$A:$C,3,FALSE),"")</f>
        <v>CONTRIBUICAO PATRONAL - INSS</v>
      </c>
      <c r="M69" s="11">
        <f>VLOOKUP(Tabela1[[#This Row],[ANO]]&amp;Tabela1[[#This Row],[Meses]],Tabela!$O:$P,2,FALSE)</f>
        <v>44166</v>
      </c>
      <c r="N69" t="str">
        <f t="shared" si="1"/>
        <v>4.01.01.01.01</v>
      </c>
      <c r="O69" s="5">
        <f>IF(Tabela1[[#This Row],[Contas]]="","",IF(Tabela1[[#This Row],[Contas]]="1.01.01.03.01",Tabela1[[#This Row],[Valor Débito]],Tabela1[[#This Row],[Movimento]]))</f>
        <v>260197.18</v>
      </c>
      <c r="P69" s="2" t="str">
        <f>IF(Tabela1[[#This Row],[Contas]]="","",IF(Tabela1[[#This Row],[Tam Conta]]=13,Tabela1[[#This Row],[Descrição Original]],P68))</f>
        <v>PESSOAL SERV. PROPRIOS</v>
      </c>
    </row>
    <row r="70" spans="1:16" x14ac:dyDescent="0.35">
      <c r="A70">
        <v>2020</v>
      </c>
      <c r="B70" t="s">
        <v>55</v>
      </c>
      <c r="C70" s="57" t="s">
        <v>74</v>
      </c>
      <c r="D70" s="49" t="s">
        <v>14</v>
      </c>
      <c r="E70" s="50">
        <v>0</v>
      </c>
      <c r="F70" s="50">
        <v>41889.18</v>
      </c>
      <c r="G70" s="50">
        <v>0</v>
      </c>
      <c r="H70" s="50">
        <f t="shared" si="2"/>
        <v>41889.18</v>
      </c>
      <c r="I70" s="50">
        <v>41889.18</v>
      </c>
      <c r="J70" s="49" t="s">
        <v>57</v>
      </c>
      <c r="K70">
        <f t="shared" si="0"/>
        <v>17</v>
      </c>
      <c r="L70" t="str">
        <f>IF(Tabela1[[#This Row],[Tam Conta]]=17,VLOOKUP(Tabela1[[#This Row],[Conta]],Tabela!$A:$C,3,FALSE),"")</f>
        <v>GRATIFICACOES</v>
      </c>
      <c r="M70" s="11">
        <f>VLOOKUP(Tabela1[[#This Row],[ANO]]&amp;Tabela1[[#This Row],[Meses]],Tabela!$O:$P,2,FALSE)</f>
        <v>44166</v>
      </c>
      <c r="N70" t="str">
        <f t="shared" si="1"/>
        <v>4.01.01.01.01</v>
      </c>
      <c r="O70" s="5">
        <f>IF(Tabela1[[#This Row],[Contas]]="","",IF(Tabela1[[#This Row],[Contas]]="1.01.01.03.01",Tabela1[[#This Row],[Valor Débito]],Tabela1[[#This Row],[Movimento]]))</f>
        <v>41889.18</v>
      </c>
      <c r="P70" s="2" t="str">
        <f>IF(Tabela1[[#This Row],[Contas]]="","",IF(Tabela1[[#This Row],[Tam Conta]]=13,Tabela1[[#This Row],[Descrição Original]],P69))</f>
        <v>PESSOAL SERV. PROPRIOS</v>
      </c>
    </row>
    <row r="71" spans="1:16" x14ac:dyDescent="0.35">
      <c r="A71">
        <v>2020</v>
      </c>
      <c r="B71" t="s">
        <v>55</v>
      </c>
      <c r="C71" s="57" t="s">
        <v>75</v>
      </c>
      <c r="D71" s="49" t="s">
        <v>16</v>
      </c>
      <c r="E71" s="50">
        <v>0</v>
      </c>
      <c r="F71" s="50">
        <v>26111.71</v>
      </c>
      <c r="G71" s="50">
        <v>92.11</v>
      </c>
      <c r="H71" s="50">
        <f t="shared" si="2"/>
        <v>26019.599999999999</v>
      </c>
      <c r="I71" s="50">
        <v>26019.599999999999</v>
      </c>
      <c r="J71" s="49" t="s">
        <v>57</v>
      </c>
      <c r="K71">
        <f t="shared" si="0"/>
        <v>17</v>
      </c>
      <c r="L71" t="str">
        <f>IF(Tabela1[[#This Row],[Tam Conta]]=17,VLOOKUP(Tabela1[[#This Row],[Conta]],Tabela!$A:$C,3,FALSE),"")</f>
        <v>SEGURO ACIDENTE DE TRABALHO</v>
      </c>
      <c r="M71" s="11">
        <f>VLOOKUP(Tabela1[[#This Row],[ANO]]&amp;Tabela1[[#This Row],[Meses]],Tabela!$O:$P,2,FALSE)</f>
        <v>44166</v>
      </c>
      <c r="N71" t="str">
        <f t="shared" si="1"/>
        <v>4.01.01.01.01</v>
      </c>
      <c r="O71" s="5">
        <f>IF(Tabela1[[#This Row],[Contas]]="","",IF(Tabela1[[#This Row],[Contas]]="1.01.01.03.01",Tabela1[[#This Row],[Valor Débito]],Tabela1[[#This Row],[Movimento]]))</f>
        <v>26019.599999999999</v>
      </c>
      <c r="P71" s="2" t="str">
        <f>IF(Tabela1[[#This Row],[Contas]]="","",IF(Tabela1[[#This Row],[Tam Conta]]=13,Tabela1[[#This Row],[Descrição Original]],P70))</f>
        <v>PESSOAL SERV. PROPRIOS</v>
      </c>
    </row>
    <row r="72" spans="1:16" x14ac:dyDescent="0.35">
      <c r="A72">
        <v>2020</v>
      </c>
      <c r="B72" t="s">
        <v>55</v>
      </c>
      <c r="C72" s="57" t="s">
        <v>76</v>
      </c>
      <c r="D72" s="49" t="s">
        <v>13</v>
      </c>
      <c r="E72" s="50">
        <v>0</v>
      </c>
      <c r="F72" s="50">
        <v>75723.95</v>
      </c>
      <c r="G72" s="50">
        <v>267.08</v>
      </c>
      <c r="H72" s="50">
        <f t="shared" si="2"/>
        <v>75456.87</v>
      </c>
      <c r="I72" s="50">
        <v>75456.87</v>
      </c>
      <c r="J72" s="49" t="s">
        <v>57</v>
      </c>
      <c r="K72">
        <f t="shared" ref="K72:K135" si="3">LEN(C72)</f>
        <v>17</v>
      </c>
      <c r="L72" t="str">
        <f>IF(Tabela1[[#This Row],[Tam Conta]]=17,VLOOKUP(Tabela1[[#This Row],[Conta]],Tabela!$A:$C,3,FALSE),"")</f>
        <v>COTA TERCEIROS ( SESC, SENAC, INCRA )</v>
      </c>
      <c r="M72" s="11">
        <f>VLOOKUP(Tabela1[[#This Row],[ANO]]&amp;Tabela1[[#This Row],[Meses]],Tabela!$O:$P,2,FALSE)</f>
        <v>44166</v>
      </c>
      <c r="N72" t="str">
        <f t="shared" ref="N72:N135" si="4">IF(K72&gt;=13,MID(C72,1,13),"")</f>
        <v>4.01.01.01.01</v>
      </c>
      <c r="O72" s="5">
        <f>IF(Tabela1[[#This Row],[Contas]]="","",IF(Tabela1[[#This Row],[Contas]]="1.01.01.03.01",Tabela1[[#This Row],[Valor Débito]],Tabela1[[#This Row],[Movimento]]))</f>
        <v>75456.87</v>
      </c>
      <c r="P72" s="2" t="str">
        <f>IF(Tabela1[[#This Row],[Contas]]="","",IF(Tabela1[[#This Row],[Tam Conta]]=13,Tabela1[[#This Row],[Descrição Original]],P71))</f>
        <v>PESSOAL SERV. PROPRIOS</v>
      </c>
    </row>
    <row r="73" spans="1:16" x14ac:dyDescent="0.35">
      <c r="A73">
        <v>2020</v>
      </c>
      <c r="B73" t="s">
        <v>55</v>
      </c>
      <c r="C73" s="57" t="s">
        <v>77</v>
      </c>
      <c r="D73" s="49" t="s">
        <v>17</v>
      </c>
      <c r="E73" s="50">
        <v>0</v>
      </c>
      <c r="F73" s="50">
        <v>8400</v>
      </c>
      <c r="G73" s="50">
        <v>0</v>
      </c>
      <c r="H73" s="50">
        <f t="shared" ref="H73:H136" si="5">F73-G73</f>
        <v>8400</v>
      </c>
      <c r="I73" s="50">
        <v>8400</v>
      </c>
      <c r="J73" s="49" t="s">
        <v>57</v>
      </c>
      <c r="K73">
        <f t="shared" si="3"/>
        <v>17</v>
      </c>
      <c r="L73" t="str">
        <f>IF(Tabela1[[#This Row],[Tam Conta]]=17,VLOOKUP(Tabela1[[#This Row],[Conta]],Tabela!$A:$C,3,FALSE),"")</f>
        <v>VALE REFEICAO</v>
      </c>
      <c r="M73" s="11">
        <f>VLOOKUP(Tabela1[[#This Row],[ANO]]&amp;Tabela1[[#This Row],[Meses]],Tabela!$O:$P,2,FALSE)</f>
        <v>44166</v>
      </c>
      <c r="N73" t="str">
        <f t="shared" si="4"/>
        <v>4.01.01.01.01</v>
      </c>
      <c r="O73" s="5">
        <f>IF(Tabela1[[#This Row],[Contas]]="","",IF(Tabela1[[#This Row],[Contas]]="1.01.01.03.01",Tabela1[[#This Row],[Valor Débito]],Tabela1[[#This Row],[Movimento]]))</f>
        <v>8400</v>
      </c>
      <c r="P73" s="2" t="str">
        <f>IF(Tabela1[[#This Row],[Contas]]="","",IF(Tabela1[[#This Row],[Tam Conta]]=13,Tabela1[[#This Row],[Descrição Original]],P72))</f>
        <v>PESSOAL SERV. PROPRIOS</v>
      </c>
    </row>
    <row r="74" spans="1:16" x14ac:dyDescent="0.35">
      <c r="A74">
        <v>2020</v>
      </c>
      <c r="B74" t="s">
        <v>55</v>
      </c>
      <c r="C74" s="57" t="s">
        <v>92</v>
      </c>
      <c r="D74" s="49" t="s">
        <v>81</v>
      </c>
      <c r="E74" s="50">
        <v>0</v>
      </c>
      <c r="F74" s="50">
        <v>2852.6</v>
      </c>
      <c r="G74" s="50">
        <v>0</v>
      </c>
      <c r="H74" s="50">
        <f t="shared" si="5"/>
        <v>2852.6</v>
      </c>
      <c r="I74" s="50">
        <v>2852.6</v>
      </c>
      <c r="J74" s="49" t="s">
        <v>57</v>
      </c>
      <c r="K74">
        <f t="shared" si="3"/>
        <v>13</v>
      </c>
      <c r="L74" t="str">
        <f>IF(Tabela1[[#This Row],[Tam Conta]]=17,VLOOKUP(Tabela1[[#This Row],[Conta]],Tabela!$A:$C,3,FALSE),"")</f>
        <v/>
      </c>
      <c r="M74" s="11">
        <f>VLOOKUP(Tabela1[[#This Row],[ANO]]&amp;Tabela1[[#This Row],[Meses]],Tabela!$O:$P,2,FALSE)</f>
        <v>44166</v>
      </c>
      <c r="N74" t="str">
        <f t="shared" si="4"/>
        <v>4.01.01.01.02</v>
      </c>
      <c r="O74" s="5">
        <f>IF(Tabela1[[#This Row],[Contas]]="","",IF(Tabela1[[#This Row],[Contas]]="1.01.01.03.01",Tabela1[[#This Row],[Valor Débito]],Tabela1[[#This Row],[Movimento]]))</f>
        <v>2852.6</v>
      </c>
      <c r="P74" s="2" t="str">
        <f>IF(Tabela1[[#This Row],[Contas]]="","",IF(Tabela1[[#This Row],[Tam Conta]]=13,Tabela1[[#This Row],[Descrição Original]],P73))</f>
        <v>PESSOAL SERVICOS TERCEIROS</v>
      </c>
    </row>
    <row r="75" spans="1:16" x14ac:dyDescent="0.35">
      <c r="A75">
        <v>2020</v>
      </c>
      <c r="B75" t="s">
        <v>55</v>
      </c>
      <c r="C75" s="58" t="s">
        <v>93</v>
      </c>
      <c r="D75" s="49" t="s">
        <v>565</v>
      </c>
      <c r="E75" s="50">
        <v>0</v>
      </c>
      <c r="F75" s="50">
        <v>2852.6</v>
      </c>
      <c r="G75" s="50">
        <v>0</v>
      </c>
      <c r="H75" s="50">
        <f t="shared" si="5"/>
        <v>2852.6</v>
      </c>
      <c r="I75" s="50">
        <v>2852.6</v>
      </c>
      <c r="J75" s="49" t="s">
        <v>57</v>
      </c>
      <c r="K75">
        <f t="shared" si="3"/>
        <v>17</v>
      </c>
      <c r="L75" t="str">
        <f>IF(Tabela1[[#This Row],[Tam Conta]]=17,VLOOKUP(Tabela1[[#This Row],[Conta]],Tabela!$A:$C,3,FALSE),"")</f>
        <v>ASSESSORIA EMPRESARIAL E SERVIÇOS ADMINISTRATIVOS</v>
      </c>
      <c r="M75" s="11">
        <f>VLOOKUP(Tabela1[[#This Row],[ANO]]&amp;Tabela1[[#This Row],[Meses]],Tabela!$O:$P,2,FALSE)</f>
        <v>44166</v>
      </c>
      <c r="N75" t="str">
        <f t="shared" si="4"/>
        <v>4.01.01.01.02</v>
      </c>
      <c r="O75" s="5">
        <f>IF(Tabela1[[#This Row],[Contas]]="","",IF(Tabela1[[#This Row],[Contas]]="1.01.01.03.01",Tabela1[[#This Row],[Valor Débito]],Tabela1[[#This Row],[Movimento]]))</f>
        <v>2852.6</v>
      </c>
      <c r="P75" s="2" t="str">
        <f>IF(Tabela1[[#This Row],[Contas]]="","",IF(Tabela1[[#This Row],[Tam Conta]]=13,Tabela1[[#This Row],[Descrição Original]],P74))</f>
        <v>PESSOAL SERVICOS TERCEIROS</v>
      </c>
    </row>
    <row r="76" spans="1:16" x14ac:dyDescent="0.35">
      <c r="A76">
        <v>2020</v>
      </c>
      <c r="B76" t="s">
        <v>55</v>
      </c>
      <c r="C76" s="57" t="s">
        <v>94</v>
      </c>
      <c r="D76" s="49" t="s">
        <v>95</v>
      </c>
      <c r="E76" s="50">
        <v>0</v>
      </c>
      <c r="F76" s="50">
        <v>75612.91</v>
      </c>
      <c r="G76" s="50">
        <v>0</v>
      </c>
      <c r="H76" s="50">
        <f t="shared" si="5"/>
        <v>75612.91</v>
      </c>
      <c r="I76" s="50">
        <v>75612.91</v>
      </c>
      <c r="J76" s="49" t="s">
        <v>57</v>
      </c>
      <c r="K76">
        <f t="shared" si="3"/>
        <v>13</v>
      </c>
      <c r="L76" t="str">
        <f>IF(Tabela1[[#This Row],[Tam Conta]]=17,VLOOKUP(Tabela1[[#This Row],[Conta]],Tabela!$A:$C,3,FALSE),"")</f>
        <v/>
      </c>
      <c r="M76" s="11">
        <f>VLOOKUP(Tabela1[[#This Row],[ANO]]&amp;Tabela1[[#This Row],[Meses]],Tabela!$O:$P,2,FALSE)</f>
        <v>44166</v>
      </c>
      <c r="N76" t="str">
        <f t="shared" si="4"/>
        <v>4.01.01.01.05</v>
      </c>
      <c r="O76" s="5">
        <f>IF(Tabela1[[#This Row],[Contas]]="","",IF(Tabela1[[#This Row],[Contas]]="1.01.01.03.01",Tabela1[[#This Row],[Valor Débito]],Tabela1[[#This Row],[Movimento]]))</f>
        <v>75612.91</v>
      </c>
      <c r="P76" s="2" t="str">
        <f>IF(Tabela1[[#This Row],[Contas]]="","",IF(Tabela1[[#This Row],[Tam Conta]]=13,Tabela1[[#This Row],[Descrição Original]],P75))</f>
        <v>GERAIS</v>
      </c>
    </row>
    <row r="77" spans="1:16" x14ac:dyDescent="0.35">
      <c r="A77">
        <v>2020</v>
      </c>
      <c r="B77" t="s">
        <v>55</v>
      </c>
      <c r="C77" s="57" t="s">
        <v>98</v>
      </c>
      <c r="D77" s="49" t="s">
        <v>39</v>
      </c>
      <c r="E77" s="50">
        <v>0</v>
      </c>
      <c r="F77" s="50">
        <v>236.98</v>
      </c>
      <c r="G77" s="50">
        <v>0</v>
      </c>
      <c r="H77" s="50">
        <f t="shared" si="5"/>
        <v>236.98</v>
      </c>
      <c r="I77" s="50">
        <v>236.98</v>
      </c>
      <c r="J77" s="49" t="s">
        <v>57</v>
      </c>
      <c r="K77">
        <f t="shared" si="3"/>
        <v>17</v>
      </c>
      <c r="L77" t="str">
        <f>IF(Tabela1[[#This Row],[Tam Conta]]=17,VLOOKUP(Tabela1[[#This Row],[Conta]],Tabela!$A:$C,3,FALSE),"")</f>
        <v>ANUNCIOS E PUBLICIDADES</v>
      </c>
      <c r="M77" s="11">
        <f>VLOOKUP(Tabela1[[#This Row],[ANO]]&amp;Tabela1[[#This Row],[Meses]],Tabela!$O:$P,2,FALSE)</f>
        <v>44166</v>
      </c>
      <c r="N77" t="str">
        <f t="shared" si="4"/>
        <v>4.01.01.01.05</v>
      </c>
      <c r="O77" s="5">
        <f>IF(Tabela1[[#This Row],[Contas]]="","",IF(Tabela1[[#This Row],[Contas]]="1.01.01.03.01",Tabela1[[#This Row],[Valor Débito]],Tabela1[[#This Row],[Movimento]]))</f>
        <v>236.98</v>
      </c>
      <c r="P77" s="2" t="str">
        <f>IF(Tabela1[[#This Row],[Contas]]="","",IF(Tabela1[[#This Row],[Tam Conta]]=13,Tabela1[[#This Row],[Descrição Original]],P76))</f>
        <v>GERAIS</v>
      </c>
    </row>
    <row r="78" spans="1:16" x14ac:dyDescent="0.35">
      <c r="A78">
        <v>2020</v>
      </c>
      <c r="B78" t="s">
        <v>55</v>
      </c>
      <c r="C78" s="57" t="s">
        <v>99</v>
      </c>
      <c r="D78" s="49" t="s">
        <v>100</v>
      </c>
      <c r="E78" s="50">
        <v>0</v>
      </c>
      <c r="F78" s="50">
        <v>62513.16</v>
      </c>
      <c r="G78" s="50">
        <v>0</v>
      </c>
      <c r="H78" s="50">
        <f t="shared" si="5"/>
        <v>62513.16</v>
      </c>
      <c r="I78" s="50">
        <v>62513.16</v>
      </c>
      <c r="J78" s="49" t="s">
        <v>57</v>
      </c>
      <c r="K78">
        <f t="shared" si="3"/>
        <v>17</v>
      </c>
      <c r="L78" t="str">
        <f>IF(Tabela1[[#This Row],[Tam Conta]]=17,VLOOKUP(Tabela1[[#This Row],[Conta]],Tabela!$A:$C,3,FALSE),"")</f>
        <v>REMUNERACAO DE SERVIDORES CEDIDOS</v>
      </c>
      <c r="M78" s="11">
        <f>VLOOKUP(Tabela1[[#This Row],[ANO]]&amp;Tabela1[[#This Row],[Meses]],Tabela!$O:$P,2,FALSE)</f>
        <v>44166</v>
      </c>
      <c r="N78" t="str">
        <f t="shared" si="4"/>
        <v>4.01.01.01.05</v>
      </c>
      <c r="O78" s="5">
        <f>IF(Tabela1[[#This Row],[Contas]]="","",IF(Tabela1[[#This Row],[Contas]]="1.01.01.03.01",Tabela1[[#This Row],[Valor Débito]],Tabela1[[#This Row],[Movimento]]))</f>
        <v>62513.16</v>
      </c>
      <c r="P78" s="2" t="str">
        <f>IF(Tabela1[[#This Row],[Contas]]="","",IF(Tabela1[[#This Row],[Tam Conta]]=13,Tabela1[[#This Row],[Descrição Original]],P77))</f>
        <v>GERAIS</v>
      </c>
    </row>
    <row r="79" spans="1:16" x14ac:dyDescent="0.35">
      <c r="A79">
        <v>2020</v>
      </c>
      <c r="B79" t="s">
        <v>55</v>
      </c>
      <c r="C79" s="57" t="s">
        <v>101</v>
      </c>
      <c r="D79" s="49" t="s">
        <v>102</v>
      </c>
      <c r="E79" s="50">
        <v>0</v>
      </c>
      <c r="F79" s="50">
        <v>12862.77</v>
      </c>
      <c r="G79" s="50">
        <v>0</v>
      </c>
      <c r="H79" s="50">
        <f t="shared" si="5"/>
        <v>12862.77</v>
      </c>
      <c r="I79" s="50">
        <v>12862.77</v>
      </c>
      <c r="J79" s="49" t="s">
        <v>57</v>
      </c>
      <c r="K79">
        <f t="shared" si="3"/>
        <v>17</v>
      </c>
      <c r="L79" t="str">
        <f>IF(Tabela1[[#This Row],[Tam Conta]]=17,VLOOKUP(Tabela1[[#This Row],[Conta]],Tabela!$A:$C,3,FALSE),"")</f>
        <v>CONTRIBUICAO PREVIDENCIARIA S/ SERVIDORES CEDIDOS</v>
      </c>
      <c r="M79" s="11">
        <f>VLOOKUP(Tabela1[[#This Row],[ANO]]&amp;Tabela1[[#This Row],[Meses]],Tabela!$O:$P,2,FALSE)</f>
        <v>44166</v>
      </c>
      <c r="N79" t="str">
        <f t="shared" si="4"/>
        <v>4.01.01.01.05</v>
      </c>
      <c r="O79" s="5">
        <f>IF(Tabela1[[#This Row],[Contas]]="","",IF(Tabela1[[#This Row],[Contas]]="1.01.01.03.01",Tabela1[[#This Row],[Valor Débito]],Tabela1[[#This Row],[Movimento]]))</f>
        <v>12862.77</v>
      </c>
      <c r="P79" s="2" t="str">
        <f>IF(Tabela1[[#This Row],[Contas]]="","",IF(Tabela1[[#This Row],[Tam Conta]]=13,Tabela1[[#This Row],[Descrição Original]],P78))</f>
        <v>GERAIS</v>
      </c>
    </row>
    <row r="80" spans="1:16" x14ac:dyDescent="0.35">
      <c r="A80">
        <v>2020</v>
      </c>
      <c r="B80" t="s">
        <v>55</v>
      </c>
      <c r="C80" s="57" t="s">
        <v>96</v>
      </c>
      <c r="D80" s="49" t="s">
        <v>97</v>
      </c>
      <c r="E80" s="50">
        <v>0</v>
      </c>
      <c r="F80" s="50">
        <v>2575.83</v>
      </c>
      <c r="G80" s="50">
        <v>0</v>
      </c>
      <c r="H80" s="50">
        <f t="shared" si="5"/>
        <v>2575.83</v>
      </c>
      <c r="I80" s="50">
        <v>2575.83</v>
      </c>
      <c r="J80" s="49" t="s">
        <v>57</v>
      </c>
      <c r="K80">
        <f t="shared" si="3"/>
        <v>13</v>
      </c>
      <c r="L80" t="str">
        <f>IF(Tabela1[[#This Row],[Tam Conta]]=17,VLOOKUP(Tabela1[[#This Row],[Conta]],Tabela!$A:$C,3,FALSE),"")</f>
        <v/>
      </c>
      <c r="M80" s="11">
        <f>VLOOKUP(Tabela1[[#This Row],[ANO]]&amp;Tabela1[[#This Row],[Meses]],Tabela!$O:$P,2,FALSE)</f>
        <v>44166</v>
      </c>
      <c r="N80" t="str">
        <f t="shared" si="4"/>
        <v>4.01.01.01.07</v>
      </c>
      <c r="O80" s="5">
        <f>IF(Tabela1[[#This Row],[Contas]]="","",IF(Tabela1[[#This Row],[Contas]]="1.01.01.03.01",Tabela1[[#This Row],[Valor Débito]],Tabela1[[#This Row],[Movimento]]))</f>
        <v>2575.83</v>
      </c>
      <c r="P80" s="2" t="str">
        <f>IF(Tabela1[[#This Row],[Contas]]="","",IF(Tabela1[[#This Row],[Tam Conta]]=13,Tabela1[[#This Row],[Descrição Original]],P79))</f>
        <v>IMPOSTOS, TAXAS E CONTRIBUICOES</v>
      </c>
    </row>
    <row r="81" spans="1:16" x14ac:dyDescent="0.35">
      <c r="A81">
        <v>2020</v>
      </c>
      <c r="B81" t="s">
        <v>55</v>
      </c>
      <c r="C81" s="57" t="s">
        <v>103</v>
      </c>
      <c r="D81" s="49" t="s">
        <v>41</v>
      </c>
      <c r="E81" s="50">
        <v>0</v>
      </c>
      <c r="F81" s="50">
        <v>2575.83</v>
      </c>
      <c r="G81" s="50">
        <v>0</v>
      </c>
      <c r="H81" s="50">
        <f t="shared" si="5"/>
        <v>2575.83</v>
      </c>
      <c r="I81" s="50">
        <v>2575.83</v>
      </c>
      <c r="J81" s="49" t="s">
        <v>57</v>
      </c>
      <c r="K81">
        <f t="shared" si="3"/>
        <v>17</v>
      </c>
      <c r="L81" t="str">
        <f>IF(Tabela1[[#This Row],[Tam Conta]]=17,VLOOKUP(Tabela1[[#This Row],[Conta]],Tabela!$A:$C,3,FALSE),"")</f>
        <v>MULTAS</v>
      </c>
      <c r="M81" s="11">
        <f>VLOOKUP(Tabela1[[#This Row],[ANO]]&amp;Tabela1[[#This Row],[Meses]],Tabela!$O:$P,2,FALSE)</f>
        <v>44166</v>
      </c>
      <c r="N81" t="str">
        <f t="shared" si="4"/>
        <v>4.01.01.01.07</v>
      </c>
      <c r="O81" s="5">
        <f>IF(Tabela1[[#This Row],[Contas]]="","",IF(Tabela1[[#This Row],[Contas]]="1.01.01.03.01",Tabela1[[#This Row],[Valor Débito]],Tabela1[[#This Row],[Movimento]]))</f>
        <v>2575.83</v>
      </c>
      <c r="P81" s="2" t="str">
        <f>IF(Tabela1[[#This Row],[Contas]]="","",IF(Tabela1[[#This Row],[Tam Conta]]=13,Tabela1[[#This Row],[Descrição Original]],P80))</f>
        <v>IMPOSTOS, TAXAS E CONTRIBUICOES</v>
      </c>
    </row>
    <row r="82" spans="1:16" x14ac:dyDescent="0.35">
      <c r="A82">
        <v>2021</v>
      </c>
      <c r="B82" t="s">
        <v>44</v>
      </c>
      <c r="C82" s="56">
        <v>1</v>
      </c>
      <c r="D82" s="49" t="s">
        <v>194</v>
      </c>
      <c r="E82" s="50">
        <v>73654019.719999999</v>
      </c>
      <c r="F82" s="50">
        <v>337809.09</v>
      </c>
      <c r="G82" s="50">
        <v>638391.93999999994</v>
      </c>
      <c r="H82" s="50">
        <f t="shared" si="5"/>
        <v>-300582.84999999992</v>
      </c>
      <c r="I82" s="50">
        <v>73353436.870000005</v>
      </c>
      <c r="J82" s="49" t="s">
        <v>57</v>
      </c>
      <c r="K82">
        <f t="shared" si="3"/>
        <v>1</v>
      </c>
      <c r="L82" t="str">
        <f>IF(Tabela1[[#This Row],[Tam Conta]]=17,VLOOKUP(Tabela1[[#This Row],[Conta]],Tabela!$A:$C,3,FALSE),"")</f>
        <v/>
      </c>
      <c r="M82" s="11">
        <f>VLOOKUP(Tabela1[[#This Row],[ANO]]&amp;Tabela1[[#This Row],[Meses]],Tabela!$O:$P,2,FALSE)</f>
        <v>44197</v>
      </c>
      <c r="N82" t="str">
        <f t="shared" si="4"/>
        <v/>
      </c>
      <c r="O82" s="5" t="str">
        <f>IF(Tabela1[[#This Row],[Contas]]="","",IF(Tabela1[[#This Row],[Contas]]="1.01.01.03.01",Tabela1[[#This Row],[Valor Débito]],Tabela1[[#This Row],[Movimento]]))</f>
        <v/>
      </c>
      <c r="P82" s="2" t="str">
        <f>IF(Tabela1[[#This Row],[Contas]]="","",IF(Tabela1[[#This Row],[Tam Conta]]=13,Tabela1[[#This Row],[Descrição Original]],P81))</f>
        <v/>
      </c>
    </row>
    <row r="83" spans="1:16" x14ac:dyDescent="0.35">
      <c r="A83">
        <v>2021</v>
      </c>
      <c r="B83" t="s">
        <v>44</v>
      </c>
      <c r="C83" s="57" t="s">
        <v>198</v>
      </c>
      <c r="D83" s="49" t="s">
        <v>199</v>
      </c>
      <c r="E83" s="50">
        <v>73654019.719999999</v>
      </c>
      <c r="F83" s="50">
        <v>337809.09</v>
      </c>
      <c r="G83" s="50">
        <v>638391.93999999994</v>
      </c>
      <c r="H83" s="50">
        <f t="shared" si="5"/>
        <v>-300582.84999999992</v>
      </c>
      <c r="I83" s="50">
        <v>73353436.870000005</v>
      </c>
      <c r="J83" s="49" t="s">
        <v>57</v>
      </c>
      <c r="K83">
        <f t="shared" si="3"/>
        <v>4</v>
      </c>
      <c r="L83" t="str">
        <f>IF(Tabela1[[#This Row],[Tam Conta]]=17,VLOOKUP(Tabela1[[#This Row],[Conta]],Tabela!$A:$C,3,FALSE),"")</f>
        <v/>
      </c>
      <c r="M83" s="11">
        <f>VLOOKUP(Tabela1[[#This Row],[ANO]]&amp;Tabela1[[#This Row],[Meses]],Tabela!$O:$P,2,FALSE)</f>
        <v>44197</v>
      </c>
      <c r="N83" t="str">
        <f t="shared" si="4"/>
        <v/>
      </c>
      <c r="O83" s="5" t="str">
        <f>IF(Tabela1[[#This Row],[Contas]]="","",IF(Tabela1[[#This Row],[Contas]]="1.01.01.03.01",Tabela1[[#This Row],[Valor Débito]],Tabela1[[#This Row],[Movimento]]))</f>
        <v/>
      </c>
      <c r="P83" s="2" t="str">
        <f>IF(Tabela1[[#This Row],[Contas]]="","",IF(Tabela1[[#This Row],[Tam Conta]]=13,Tabela1[[#This Row],[Descrição Original]],P82))</f>
        <v/>
      </c>
    </row>
    <row r="84" spans="1:16" x14ac:dyDescent="0.35">
      <c r="A84">
        <v>2021</v>
      </c>
      <c r="B84" t="s">
        <v>44</v>
      </c>
      <c r="C84" s="57" t="s">
        <v>200</v>
      </c>
      <c r="D84" s="49" t="s">
        <v>201</v>
      </c>
      <c r="E84" s="50">
        <v>73654019.719999999</v>
      </c>
      <c r="F84" s="50">
        <v>337809.09</v>
      </c>
      <c r="G84" s="50">
        <v>638391.93999999994</v>
      </c>
      <c r="H84" s="50">
        <f t="shared" si="5"/>
        <v>-300582.84999999992</v>
      </c>
      <c r="I84" s="50">
        <v>73353436.870000005</v>
      </c>
      <c r="J84" s="49" t="s">
        <v>57</v>
      </c>
      <c r="K84">
        <f t="shared" si="3"/>
        <v>7</v>
      </c>
      <c r="L84" t="str">
        <f>IF(Tabela1[[#This Row],[Tam Conta]]=17,VLOOKUP(Tabela1[[#This Row],[Conta]],Tabela!$A:$C,3,FALSE),"")</f>
        <v/>
      </c>
      <c r="M84" s="11">
        <f>VLOOKUP(Tabela1[[#This Row],[ANO]]&amp;Tabela1[[#This Row],[Meses]],Tabela!$O:$P,2,FALSE)</f>
        <v>44197</v>
      </c>
      <c r="N84" t="str">
        <f t="shared" si="4"/>
        <v/>
      </c>
      <c r="O84" s="5" t="str">
        <f>IF(Tabela1[[#This Row],[Contas]]="","",IF(Tabela1[[#This Row],[Contas]]="1.01.01.03.01",Tabela1[[#This Row],[Valor Débito]],Tabela1[[#This Row],[Movimento]]))</f>
        <v/>
      </c>
      <c r="P84" s="2" t="str">
        <f>IF(Tabela1[[#This Row],[Contas]]="","",IF(Tabela1[[#This Row],[Tam Conta]]=13,Tabela1[[#This Row],[Descrição Original]],P83))</f>
        <v/>
      </c>
    </row>
    <row r="85" spans="1:16" x14ac:dyDescent="0.35">
      <c r="A85">
        <v>2021</v>
      </c>
      <c r="B85" t="s">
        <v>44</v>
      </c>
      <c r="C85" s="57" t="s">
        <v>202</v>
      </c>
      <c r="D85" s="49" t="s">
        <v>203</v>
      </c>
      <c r="E85" s="50">
        <v>12650056.970000001</v>
      </c>
      <c r="F85" s="50">
        <v>337809.09</v>
      </c>
      <c r="G85" s="50">
        <v>638391.93999999994</v>
      </c>
      <c r="H85" s="50">
        <f t="shared" si="5"/>
        <v>-300582.84999999992</v>
      </c>
      <c r="I85" s="50">
        <v>12349474.119999999</v>
      </c>
      <c r="J85" s="49" t="s">
        <v>57</v>
      </c>
      <c r="K85">
        <f t="shared" si="3"/>
        <v>10</v>
      </c>
      <c r="L85" t="str">
        <f>IF(Tabela1[[#This Row],[Tam Conta]]=17,VLOOKUP(Tabela1[[#This Row],[Conta]],Tabela!$A:$C,3,FALSE),"")</f>
        <v/>
      </c>
      <c r="M85" s="11">
        <f>VLOOKUP(Tabela1[[#This Row],[ANO]]&amp;Tabela1[[#This Row],[Meses]],Tabela!$O:$P,2,FALSE)</f>
        <v>44197</v>
      </c>
      <c r="N85" t="str">
        <f t="shared" si="4"/>
        <v/>
      </c>
      <c r="O85" s="5" t="str">
        <f>IF(Tabela1[[#This Row],[Contas]]="","",IF(Tabela1[[#This Row],[Contas]]="1.01.01.03.01",Tabela1[[#This Row],[Valor Débito]],Tabela1[[#This Row],[Movimento]]))</f>
        <v/>
      </c>
      <c r="P85" s="2" t="str">
        <f>IF(Tabela1[[#This Row],[Contas]]="","",IF(Tabela1[[#This Row],[Tam Conta]]=13,Tabela1[[#This Row],[Descrição Original]],P84))</f>
        <v/>
      </c>
    </row>
    <row r="86" spans="1:16" x14ac:dyDescent="0.35">
      <c r="A86">
        <v>2021</v>
      </c>
      <c r="B86" t="s">
        <v>44</v>
      </c>
      <c r="C86" s="57" t="s">
        <v>204</v>
      </c>
      <c r="D86" s="49" t="s">
        <v>205</v>
      </c>
      <c r="E86" s="50">
        <v>0</v>
      </c>
      <c r="F86" s="50">
        <v>319195.96999999997</v>
      </c>
      <c r="G86" s="50">
        <v>319195.96999999997</v>
      </c>
      <c r="H86" s="50">
        <f t="shared" si="5"/>
        <v>0</v>
      </c>
      <c r="I86" s="50">
        <v>0</v>
      </c>
      <c r="J86" s="49" t="s">
        <v>57</v>
      </c>
      <c r="K86">
        <f t="shared" si="3"/>
        <v>13</v>
      </c>
      <c r="L86" t="str">
        <f>IF(Tabela1[[#This Row],[Tam Conta]]=17,VLOOKUP(Tabela1[[#This Row],[Conta]],Tabela!$A:$C,3,FALSE),"")</f>
        <v/>
      </c>
      <c r="M86" s="11">
        <f>VLOOKUP(Tabela1[[#This Row],[ANO]]&amp;Tabela1[[#This Row],[Meses]],Tabela!$O:$P,2,FALSE)</f>
        <v>44197</v>
      </c>
      <c r="N86" t="str">
        <f t="shared" si="4"/>
        <v>1.01.01.01.02</v>
      </c>
      <c r="O86" s="5">
        <f>IF(Tabela1[[#This Row],[Contas]]="","",IF(Tabela1[[#This Row],[Contas]]="1.01.01.03.01",Tabela1[[#This Row],[Valor Débito]],Tabela1[[#This Row],[Movimento]]))</f>
        <v>0</v>
      </c>
      <c r="P86" s="2" t="str">
        <f>IF(Tabela1[[#This Row],[Contas]]="","",IF(Tabela1[[#This Row],[Tam Conta]]=13,Tabela1[[#This Row],[Descrição Original]],P85))</f>
        <v>BANCOS C/MOVIMENTO - SAUDE</v>
      </c>
    </row>
    <row r="87" spans="1:16" x14ac:dyDescent="0.35">
      <c r="A87">
        <v>2021</v>
      </c>
      <c r="B87" t="s">
        <v>44</v>
      </c>
      <c r="C87" s="57" t="s">
        <v>207</v>
      </c>
      <c r="D87" s="49" t="s">
        <v>538</v>
      </c>
      <c r="E87" s="50">
        <v>0</v>
      </c>
      <c r="F87" s="50">
        <v>319195.96999999997</v>
      </c>
      <c r="G87" s="50">
        <v>319195.96999999997</v>
      </c>
      <c r="H87" s="50">
        <f t="shared" si="5"/>
        <v>0</v>
      </c>
      <c r="I87" s="50">
        <v>0</v>
      </c>
      <c r="J87" s="49" t="s">
        <v>57</v>
      </c>
      <c r="K87">
        <f t="shared" si="3"/>
        <v>17</v>
      </c>
      <c r="L87" t="str">
        <f>IF(Tabela1[[#This Row],[Tam Conta]]=17,VLOOKUP(Tabela1[[#This Row],[Conta]],Tabela!$A:$C,3,FALSE),"")</f>
        <v>BANCO DO ESTADO DO ESPIRITO SANTO</v>
      </c>
      <c r="M87" s="11">
        <f>VLOOKUP(Tabela1[[#This Row],[ANO]]&amp;Tabela1[[#This Row],[Meses]],Tabela!$O:$P,2,FALSE)</f>
        <v>44197</v>
      </c>
      <c r="N87" t="str">
        <f t="shared" si="4"/>
        <v>1.01.01.01.02</v>
      </c>
      <c r="O87" s="5">
        <f>IF(Tabela1[[#This Row],[Contas]]="","",IF(Tabela1[[#This Row],[Contas]]="1.01.01.03.01",Tabela1[[#This Row],[Valor Débito]],Tabela1[[#This Row],[Movimento]]))</f>
        <v>0</v>
      </c>
      <c r="P87" s="2" t="str">
        <f>IF(Tabela1[[#This Row],[Contas]]="","",IF(Tabela1[[#This Row],[Tam Conta]]=13,Tabela1[[#This Row],[Descrição Original]],P86))</f>
        <v>BANCOS C/MOVIMENTO - SAUDE</v>
      </c>
    </row>
    <row r="88" spans="1:16" x14ac:dyDescent="0.35">
      <c r="A88">
        <v>2021</v>
      </c>
      <c r="B88" t="s">
        <v>44</v>
      </c>
      <c r="C88" s="57" t="s">
        <v>539</v>
      </c>
      <c r="D88" s="49" t="s">
        <v>540</v>
      </c>
      <c r="E88" s="50">
        <v>12650056.970000001</v>
      </c>
      <c r="F88" s="50">
        <v>18613.12</v>
      </c>
      <c r="G88" s="50">
        <v>319195.96999999997</v>
      </c>
      <c r="H88" s="50">
        <f t="shared" si="5"/>
        <v>-300582.84999999998</v>
      </c>
      <c r="I88" s="50">
        <v>12349474.119999999</v>
      </c>
      <c r="J88" s="49" t="s">
        <v>57</v>
      </c>
      <c r="K88">
        <f t="shared" si="3"/>
        <v>13</v>
      </c>
      <c r="L88" t="str">
        <f>IF(Tabela1[[#This Row],[Tam Conta]]=17,VLOOKUP(Tabela1[[#This Row],[Conta]],Tabela!$A:$C,3,FALSE),"")</f>
        <v/>
      </c>
      <c r="M88" s="11">
        <f>VLOOKUP(Tabela1[[#This Row],[ANO]]&amp;Tabela1[[#This Row],[Meses]],Tabela!$O:$P,2,FALSE)</f>
        <v>44197</v>
      </c>
      <c r="N88" t="str">
        <f t="shared" si="4"/>
        <v>1.01.01.01.03</v>
      </c>
      <c r="O88" s="5">
        <f>IF(Tabela1[[#This Row],[Contas]]="","",IF(Tabela1[[#This Row],[Contas]]="1.01.01.03.01",Tabela1[[#This Row],[Valor Débito]],Tabela1[[#This Row],[Movimento]]))</f>
        <v>-300582.84999999998</v>
      </c>
      <c r="P88" s="2" t="str">
        <f>IF(Tabela1[[#This Row],[Contas]]="","",IF(Tabela1[[#This Row],[Tam Conta]]=13,Tabela1[[#This Row],[Descrição Original]],P87))</f>
        <v>APLICACOES FINANCEIRAS DE LIQUIDEZ IMEDIATA</v>
      </c>
    </row>
    <row r="89" spans="1:16" x14ac:dyDescent="0.35">
      <c r="A89">
        <v>2021</v>
      </c>
      <c r="B89" t="s">
        <v>44</v>
      </c>
      <c r="C89" s="57" t="s">
        <v>541</v>
      </c>
      <c r="D89" s="49" t="s">
        <v>538</v>
      </c>
      <c r="E89" s="50">
        <v>12650056.970000001</v>
      </c>
      <c r="F89" s="50">
        <v>18613.12</v>
      </c>
      <c r="G89" s="50">
        <v>319195.96999999997</v>
      </c>
      <c r="H89" s="50">
        <f t="shared" si="5"/>
        <v>-300582.84999999998</v>
      </c>
      <c r="I89" s="50">
        <v>12349474.119999999</v>
      </c>
      <c r="J89" s="49" t="s">
        <v>57</v>
      </c>
      <c r="K89">
        <f t="shared" si="3"/>
        <v>17</v>
      </c>
      <c r="L89" t="str">
        <f>IF(Tabela1[[#This Row],[Tam Conta]]=17,VLOOKUP(Tabela1[[#This Row],[Conta]],Tabela!$A:$C,3,FALSE),"")</f>
        <v>BANCO DO ESTADO DO ESPIRITO SANTO C.C. 3083935-1</v>
      </c>
      <c r="M89" s="11">
        <f>VLOOKUP(Tabela1[[#This Row],[ANO]]&amp;Tabela1[[#This Row],[Meses]],Tabela!$O:$P,2,FALSE)</f>
        <v>44197</v>
      </c>
      <c r="N89" t="str">
        <f t="shared" si="4"/>
        <v>1.01.01.01.03</v>
      </c>
      <c r="O89" s="5">
        <f>IF(Tabela1[[#This Row],[Contas]]="","",IF(Tabela1[[#This Row],[Contas]]="1.01.01.03.01",Tabela1[[#This Row],[Valor Débito]],Tabela1[[#This Row],[Movimento]]))</f>
        <v>-300582.84999999998</v>
      </c>
      <c r="P89" s="2" t="str">
        <f>IF(Tabela1[[#This Row],[Contas]]="","",IF(Tabela1[[#This Row],[Tam Conta]]=13,Tabela1[[#This Row],[Descrição Original]],P88))</f>
        <v>APLICACOES FINANCEIRAS DE LIQUIDEZ IMEDIATA</v>
      </c>
    </row>
    <row r="90" spans="1:16" x14ac:dyDescent="0.35">
      <c r="A90">
        <v>2021</v>
      </c>
      <c r="B90" t="s">
        <v>44</v>
      </c>
      <c r="C90" s="57" t="s">
        <v>210</v>
      </c>
      <c r="D90" s="49" t="s">
        <v>211</v>
      </c>
      <c r="E90" s="50">
        <v>61003962.75</v>
      </c>
      <c r="F90" s="50">
        <v>0</v>
      </c>
      <c r="G90" s="50">
        <v>0</v>
      </c>
      <c r="H90" s="50">
        <f t="shared" si="5"/>
        <v>0</v>
      </c>
      <c r="I90" s="50">
        <v>61003962.75</v>
      </c>
      <c r="J90" s="49" t="s">
        <v>57</v>
      </c>
      <c r="K90">
        <f t="shared" si="3"/>
        <v>10</v>
      </c>
      <c r="L90" t="str">
        <f>IF(Tabela1[[#This Row],[Tam Conta]]=17,VLOOKUP(Tabela1[[#This Row],[Conta]],Tabela!$A:$C,3,FALSE),"")</f>
        <v/>
      </c>
      <c r="M90" s="11">
        <f>VLOOKUP(Tabela1[[#This Row],[ANO]]&amp;Tabela1[[#This Row],[Meses]],Tabela!$O:$P,2,FALSE)</f>
        <v>44197</v>
      </c>
      <c r="N90" t="str">
        <f t="shared" si="4"/>
        <v/>
      </c>
      <c r="O90" s="5" t="str">
        <f>IF(Tabela1[[#This Row],[Contas]]="","",IF(Tabela1[[#This Row],[Contas]]="1.01.01.03.01",Tabela1[[#This Row],[Valor Débito]],Tabela1[[#This Row],[Movimento]]))</f>
        <v/>
      </c>
      <c r="P90" s="2" t="str">
        <f>IF(Tabela1[[#This Row],[Contas]]="","",IF(Tabela1[[#This Row],[Tam Conta]]=13,Tabela1[[#This Row],[Descrição Original]],P89))</f>
        <v/>
      </c>
    </row>
    <row r="91" spans="1:16" x14ac:dyDescent="0.35">
      <c r="A91">
        <v>2021</v>
      </c>
      <c r="B91" t="s">
        <v>44</v>
      </c>
      <c r="C91" s="57" t="s">
        <v>216</v>
      </c>
      <c r="D91" s="49" t="s">
        <v>217</v>
      </c>
      <c r="E91" s="50">
        <v>3277.43</v>
      </c>
      <c r="F91" s="50">
        <v>0</v>
      </c>
      <c r="G91" s="50">
        <v>0</v>
      </c>
      <c r="H91" s="50">
        <f t="shared" si="5"/>
        <v>0</v>
      </c>
      <c r="I91" s="50">
        <v>3277.43</v>
      </c>
      <c r="J91" s="49" t="s">
        <v>57</v>
      </c>
      <c r="K91">
        <f t="shared" si="3"/>
        <v>13</v>
      </c>
      <c r="L91" t="str">
        <f>IF(Tabela1[[#This Row],[Tam Conta]]=17,VLOOKUP(Tabela1[[#This Row],[Conta]],Tabela!$A:$C,3,FALSE),"")</f>
        <v/>
      </c>
      <c r="M91" s="11">
        <f>VLOOKUP(Tabela1[[#This Row],[ANO]]&amp;Tabela1[[#This Row],[Meses]],Tabela!$O:$P,2,FALSE)</f>
        <v>44197</v>
      </c>
      <c r="N91" t="str">
        <f t="shared" si="4"/>
        <v>1.01.01.02.06</v>
      </c>
      <c r="O91" s="5">
        <f>IF(Tabela1[[#This Row],[Contas]]="","",IF(Tabela1[[#This Row],[Contas]]="1.01.01.03.01",Tabela1[[#This Row],[Valor Débito]],Tabela1[[#This Row],[Movimento]]))</f>
        <v>0</v>
      </c>
      <c r="P91" s="2" t="str">
        <f>IF(Tabela1[[#This Row],[Contas]]="","",IF(Tabela1[[#This Row],[Tam Conta]]=13,Tabela1[[#This Row],[Descrição Original]],P90))</f>
        <v>CREDITOS DE FUNCIONARIOS</v>
      </c>
    </row>
    <row r="92" spans="1:16" x14ac:dyDescent="0.35">
      <c r="A92">
        <v>2021</v>
      </c>
      <c r="B92" t="s">
        <v>44</v>
      </c>
      <c r="C92" s="57" t="s">
        <v>219</v>
      </c>
      <c r="D92" s="49" t="s">
        <v>566</v>
      </c>
      <c r="E92" s="50">
        <v>3277.43</v>
      </c>
      <c r="F92" s="50">
        <v>0</v>
      </c>
      <c r="G92" s="50">
        <v>0</v>
      </c>
      <c r="H92" s="50">
        <f t="shared" si="5"/>
        <v>0</v>
      </c>
      <c r="I92" s="50">
        <v>3277.43</v>
      </c>
      <c r="J92" s="49" t="s">
        <v>57</v>
      </c>
      <c r="K92">
        <f t="shared" si="3"/>
        <v>17</v>
      </c>
      <c r="L92" t="str">
        <f>IF(Tabela1[[#This Row],[Tam Conta]]=17,VLOOKUP(Tabela1[[#This Row],[Conta]],Tabela!$A:$C,3,FALSE),"")</f>
        <v>OUTROS ADIANTAMENTOS A FUNCIONARIOS</v>
      </c>
      <c r="M92" s="11">
        <f>VLOOKUP(Tabela1[[#This Row],[ANO]]&amp;Tabela1[[#This Row],[Meses]],Tabela!$O:$P,2,FALSE)</f>
        <v>44197</v>
      </c>
      <c r="N92" t="str">
        <f t="shared" si="4"/>
        <v>1.01.01.02.06</v>
      </c>
      <c r="O92" s="5">
        <f>IF(Tabela1[[#This Row],[Contas]]="","",IF(Tabela1[[#This Row],[Contas]]="1.01.01.03.01",Tabela1[[#This Row],[Valor Débito]],Tabela1[[#This Row],[Movimento]]))</f>
        <v>0</v>
      </c>
      <c r="P92" s="2" t="str">
        <f>IF(Tabela1[[#This Row],[Contas]]="","",IF(Tabela1[[#This Row],[Tam Conta]]=13,Tabela1[[#This Row],[Descrição Original]],P91))</f>
        <v>CREDITOS DE FUNCIONARIOS</v>
      </c>
    </row>
    <row r="93" spans="1:16" x14ac:dyDescent="0.35">
      <c r="A93">
        <v>2021</v>
      </c>
      <c r="B93" t="s">
        <v>44</v>
      </c>
      <c r="C93" s="57" t="s">
        <v>222</v>
      </c>
      <c r="D93" s="49" t="s">
        <v>223</v>
      </c>
      <c r="E93" s="50">
        <v>61000000</v>
      </c>
      <c r="F93" s="50">
        <v>0</v>
      </c>
      <c r="G93" s="50">
        <v>0</v>
      </c>
      <c r="H93" s="50">
        <f t="shared" si="5"/>
        <v>0</v>
      </c>
      <c r="I93" s="50">
        <v>61000000</v>
      </c>
      <c r="J93" s="49" t="s">
        <v>57</v>
      </c>
      <c r="K93">
        <f t="shared" si="3"/>
        <v>13</v>
      </c>
      <c r="L93" t="str">
        <f>IF(Tabela1[[#This Row],[Tam Conta]]=17,VLOOKUP(Tabela1[[#This Row],[Conta]],Tabela!$A:$C,3,FALSE),"")</f>
        <v/>
      </c>
      <c r="M93" s="11">
        <f>VLOOKUP(Tabela1[[#This Row],[ANO]]&amp;Tabela1[[#This Row],[Meses]],Tabela!$O:$P,2,FALSE)</f>
        <v>44197</v>
      </c>
      <c r="N93" t="str">
        <f t="shared" si="4"/>
        <v>1.01.01.02.07</v>
      </c>
      <c r="O93" s="5">
        <f>IF(Tabela1[[#This Row],[Contas]]="","",IF(Tabela1[[#This Row],[Contas]]="1.01.01.03.01",Tabela1[[#This Row],[Valor Débito]],Tabela1[[#This Row],[Movimento]]))</f>
        <v>0</v>
      </c>
      <c r="P93" s="2" t="str">
        <f>IF(Tabela1[[#This Row],[Contas]]="","",IF(Tabela1[[#This Row],[Tam Conta]]=13,Tabela1[[#This Row],[Descrição Original]],P92))</f>
        <v>OUTROS CREDITOS</v>
      </c>
    </row>
    <row r="94" spans="1:16" x14ac:dyDescent="0.35">
      <c r="A94">
        <v>2021</v>
      </c>
      <c r="B94" t="s">
        <v>44</v>
      </c>
      <c r="C94" s="57" t="s">
        <v>544</v>
      </c>
      <c r="D94" s="49" t="s">
        <v>545</v>
      </c>
      <c r="E94" s="50">
        <v>61000000</v>
      </c>
      <c r="F94" s="50">
        <v>0</v>
      </c>
      <c r="G94" s="50">
        <v>0</v>
      </c>
      <c r="H94" s="50">
        <f t="shared" si="5"/>
        <v>0</v>
      </c>
      <c r="I94" s="50">
        <v>61000000</v>
      </c>
      <c r="J94" s="49" t="s">
        <v>57</v>
      </c>
      <c r="K94">
        <f t="shared" si="3"/>
        <v>17</v>
      </c>
      <c r="L94" t="str">
        <f>IF(Tabela1[[#This Row],[Tam Conta]]=17,VLOOKUP(Tabela1[[#This Row],[Conta]],Tabela!$A:$C,3,FALSE),"")</f>
        <v>SUBVENÇÕES E ASSITÊNCIA GOVERNAMENTAIS A REALIZAR</v>
      </c>
      <c r="M94" s="11">
        <f>VLOOKUP(Tabela1[[#This Row],[ANO]]&amp;Tabela1[[#This Row],[Meses]],Tabela!$O:$P,2,FALSE)</f>
        <v>44197</v>
      </c>
      <c r="N94" t="str">
        <f t="shared" si="4"/>
        <v>1.01.01.02.07</v>
      </c>
      <c r="O94" s="5">
        <f>IF(Tabela1[[#This Row],[Contas]]="","",IF(Tabela1[[#This Row],[Contas]]="1.01.01.03.01",Tabela1[[#This Row],[Valor Débito]],Tabela1[[#This Row],[Movimento]]))</f>
        <v>0</v>
      </c>
      <c r="P94" s="2" t="str">
        <f>IF(Tabela1[[#This Row],[Contas]]="","",IF(Tabela1[[#This Row],[Tam Conta]]=13,Tabela1[[#This Row],[Descrição Original]],P93))</f>
        <v>OUTROS CREDITOS</v>
      </c>
    </row>
    <row r="95" spans="1:16" x14ac:dyDescent="0.35">
      <c r="A95">
        <v>2021</v>
      </c>
      <c r="B95" t="s">
        <v>44</v>
      </c>
      <c r="C95" s="57" t="s">
        <v>546</v>
      </c>
      <c r="D95" s="49" t="s">
        <v>547</v>
      </c>
      <c r="E95" s="50">
        <v>685.32</v>
      </c>
      <c r="F95" s="50">
        <v>0</v>
      </c>
      <c r="G95" s="50">
        <v>0</v>
      </c>
      <c r="H95" s="50">
        <f t="shared" si="5"/>
        <v>0</v>
      </c>
      <c r="I95" s="50">
        <v>685.32</v>
      </c>
      <c r="J95" s="49" t="s">
        <v>57</v>
      </c>
      <c r="K95">
        <f t="shared" si="3"/>
        <v>13</v>
      </c>
      <c r="L95" t="str">
        <f>IF(Tabela1[[#This Row],[Tam Conta]]=17,VLOOKUP(Tabela1[[#This Row],[Conta]],Tabela!$A:$C,3,FALSE),"")</f>
        <v/>
      </c>
      <c r="M95" s="11">
        <f>VLOOKUP(Tabela1[[#This Row],[ANO]]&amp;Tabela1[[#This Row],[Meses]],Tabela!$O:$P,2,FALSE)</f>
        <v>44197</v>
      </c>
      <c r="N95" t="str">
        <f t="shared" si="4"/>
        <v>1.01.01.02.11</v>
      </c>
      <c r="O95" s="5">
        <f>IF(Tabela1[[#This Row],[Contas]]="","",IF(Tabela1[[#This Row],[Contas]]="1.01.01.03.01",Tabela1[[#This Row],[Valor Débito]],Tabela1[[#This Row],[Movimento]]))</f>
        <v>0</v>
      </c>
      <c r="P95" s="2" t="str">
        <f>IF(Tabela1[[#This Row],[Contas]]="","",IF(Tabela1[[#This Row],[Tam Conta]]=13,Tabela1[[#This Row],[Descrição Original]],P94))</f>
        <v>IMPOSTOS A RECUPERAR</v>
      </c>
    </row>
    <row r="96" spans="1:16" x14ac:dyDescent="0.35">
      <c r="A96">
        <v>2021</v>
      </c>
      <c r="B96" t="s">
        <v>44</v>
      </c>
      <c r="C96" s="57" t="s">
        <v>548</v>
      </c>
      <c r="D96" s="49" t="s">
        <v>549</v>
      </c>
      <c r="E96" s="50">
        <v>251.35</v>
      </c>
      <c r="F96" s="50">
        <v>0</v>
      </c>
      <c r="G96" s="50">
        <v>0</v>
      </c>
      <c r="H96" s="50">
        <f t="shared" si="5"/>
        <v>0</v>
      </c>
      <c r="I96" s="50">
        <v>251.35</v>
      </c>
      <c r="J96" s="49" t="s">
        <v>57</v>
      </c>
      <c r="K96">
        <f t="shared" si="3"/>
        <v>17</v>
      </c>
      <c r="L96" t="str">
        <f>IF(Tabela1[[#This Row],[Tam Conta]]=17,VLOOKUP(Tabela1[[#This Row],[Conta]],Tabela!$A:$C,3,FALSE),"")</f>
        <v>IRRF A RECUPERAR</v>
      </c>
      <c r="M96" s="11">
        <f>VLOOKUP(Tabela1[[#This Row],[ANO]]&amp;Tabela1[[#This Row],[Meses]],Tabela!$O:$P,2,FALSE)</f>
        <v>44197</v>
      </c>
      <c r="N96" t="str">
        <f t="shared" si="4"/>
        <v>1.01.01.02.11</v>
      </c>
      <c r="O96" s="5">
        <f>IF(Tabela1[[#This Row],[Contas]]="","",IF(Tabela1[[#This Row],[Contas]]="1.01.01.03.01",Tabela1[[#This Row],[Valor Débito]],Tabela1[[#This Row],[Movimento]]))</f>
        <v>0</v>
      </c>
      <c r="P96" s="2" t="str">
        <f>IF(Tabela1[[#This Row],[Contas]]="","",IF(Tabela1[[#This Row],[Tam Conta]]=13,Tabela1[[#This Row],[Descrição Original]],P95))</f>
        <v>IMPOSTOS A RECUPERAR</v>
      </c>
    </row>
    <row r="97" spans="1:16" x14ac:dyDescent="0.35">
      <c r="A97">
        <v>2021</v>
      </c>
      <c r="B97" t="s">
        <v>44</v>
      </c>
      <c r="C97" s="57" t="s">
        <v>550</v>
      </c>
      <c r="D97" s="49" t="s">
        <v>551</v>
      </c>
      <c r="E97" s="50">
        <v>433.97</v>
      </c>
      <c r="F97" s="50">
        <v>0</v>
      </c>
      <c r="G97" s="50">
        <v>0</v>
      </c>
      <c r="H97" s="50">
        <f t="shared" si="5"/>
        <v>0</v>
      </c>
      <c r="I97" s="50">
        <v>433.97</v>
      </c>
      <c r="J97" s="49" t="s">
        <v>57</v>
      </c>
      <c r="K97">
        <f t="shared" si="3"/>
        <v>17</v>
      </c>
      <c r="L97" t="str">
        <f>IF(Tabela1[[#This Row],[Tam Conta]]=17,VLOOKUP(Tabela1[[#This Row],[Conta]],Tabela!$A:$C,3,FALSE),"")</f>
        <v>IRRF RETIDO S/ APLICACAO FINANCEIRA</v>
      </c>
      <c r="M97" s="11">
        <f>VLOOKUP(Tabela1[[#This Row],[ANO]]&amp;Tabela1[[#This Row],[Meses]],Tabela!$O:$P,2,FALSE)</f>
        <v>44197</v>
      </c>
      <c r="N97" t="str">
        <f t="shared" si="4"/>
        <v>1.01.01.02.11</v>
      </c>
      <c r="O97" s="5">
        <f>IF(Tabela1[[#This Row],[Contas]]="","",IF(Tabela1[[#This Row],[Contas]]="1.01.01.03.01",Tabela1[[#This Row],[Valor Débito]],Tabela1[[#This Row],[Movimento]]))</f>
        <v>0</v>
      </c>
      <c r="P97" s="2" t="str">
        <f>IF(Tabela1[[#This Row],[Contas]]="","",IF(Tabela1[[#This Row],[Tam Conta]]=13,Tabela1[[#This Row],[Descrição Original]],P96))</f>
        <v>IMPOSTOS A RECUPERAR</v>
      </c>
    </row>
    <row r="98" spans="1:16" x14ac:dyDescent="0.35">
      <c r="A98">
        <v>2021</v>
      </c>
      <c r="B98" t="s">
        <v>44</v>
      </c>
      <c r="C98" s="56">
        <v>2</v>
      </c>
      <c r="D98" s="49" t="s">
        <v>552</v>
      </c>
      <c r="E98" s="50">
        <v>74134757.780000001</v>
      </c>
      <c r="F98" s="50">
        <v>642431.27</v>
      </c>
      <c r="G98" s="50">
        <v>429269.54</v>
      </c>
      <c r="H98" s="50">
        <f t="shared" si="5"/>
        <v>213161.73000000004</v>
      </c>
      <c r="I98" s="50">
        <v>73921596.049999997</v>
      </c>
      <c r="J98" s="49" t="s">
        <v>3257</v>
      </c>
      <c r="K98">
        <f t="shared" si="3"/>
        <v>1</v>
      </c>
      <c r="L98" t="str">
        <f>IF(Tabela1[[#This Row],[Tam Conta]]=17,VLOOKUP(Tabela1[[#This Row],[Conta]],Tabela!$A:$C,3,FALSE),"")</f>
        <v/>
      </c>
      <c r="M98" s="11">
        <f>VLOOKUP(Tabela1[[#This Row],[ANO]]&amp;Tabela1[[#This Row],[Meses]],Tabela!$O:$P,2,FALSE)</f>
        <v>44197</v>
      </c>
      <c r="N98" t="str">
        <f t="shared" si="4"/>
        <v/>
      </c>
      <c r="O98" s="5" t="str">
        <f>IF(Tabela1[[#This Row],[Contas]]="","",IF(Tabela1[[#This Row],[Contas]]="1.01.01.03.01",Tabela1[[#This Row],[Valor Débito]],Tabela1[[#This Row],[Movimento]]))</f>
        <v/>
      </c>
      <c r="P98" s="2" t="str">
        <f>IF(Tabela1[[#This Row],[Contas]]="","",IF(Tabela1[[#This Row],[Tam Conta]]=13,Tabela1[[#This Row],[Descrição Original]],P97))</f>
        <v/>
      </c>
    </row>
    <row r="99" spans="1:16" x14ac:dyDescent="0.35">
      <c r="A99">
        <v>2021</v>
      </c>
      <c r="B99" t="s">
        <v>44</v>
      </c>
      <c r="C99" s="57" t="s">
        <v>343</v>
      </c>
      <c r="D99" s="49" t="s">
        <v>344</v>
      </c>
      <c r="E99" s="50">
        <v>74134757.780000001</v>
      </c>
      <c r="F99" s="50">
        <v>642431.27</v>
      </c>
      <c r="G99" s="50">
        <v>429269.54</v>
      </c>
      <c r="H99" s="50">
        <f t="shared" si="5"/>
        <v>213161.73000000004</v>
      </c>
      <c r="I99" s="50">
        <v>73921596.049999997</v>
      </c>
      <c r="J99" s="49" t="s">
        <v>3257</v>
      </c>
      <c r="K99">
        <f t="shared" si="3"/>
        <v>4</v>
      </c>
      <c r="L99" t="str">
        <f>IF(Tabela1[[#This Row],[Tam Conta]]=17,VLOOKUP(Tabela1[[#This Row],[Conta]],Tabela!$A:$C,3,FALSE),"")</f>
        <v/>
      </c>
      <c r="M99" s="11">
        <f>VLOOKUP(Tabela1[[#This Row],[ANO]]&amp;Tabela1[[#This Row],[Meses]],Tabela!$O:$P,2,FALSE)</f>
        <v>44197</v>
      </c>
      <c r="N99" t="str">
        <f t="shared" si="4"/>
        <v/>
      </c>
      <c r="O99" s="5" t="str">
        <f>IF(Tabela1[[#This Row],[Contas]]="","",IF(Tabela1[[#This Row],[Contas]]="1.01.01.03.01",Tabela1[[#This Row],[Valor Débito]],Tabela1[[#This Row],[Movimento]]))</f>
        <v/>
      </c>
      <c r="P99" s="2" t="str">
        <f>IF(Tabela1[[#This Row],[Contas]]="","",IF(Tabela1[[#This Row],[Tam Conta]]=13,Tabela1[[#This Row],[Descrição Original]],P98))</f>
        <v/>
      </c>
    </row>
    <row r="100" spans="1:16" x14ac:dyDescent="0.35">
      <c r="A100">
        <v>2021</v>
      </c>
      <c r="B100" t="s">
        <v>44</v>
      </c>
      <c r="C100" s="57" t="s">
        <v>345</v>
      </c>
      <c r="D100" s="49" t="s">
        <v>346</v>
      </c>
      <c r="E100" s="50">
        <v>538573.54</v>
      </c>
      <c r="F100" s="50">
        <v>339283.77</v>
      </c>
      <c r="G100" s="50">
        <v>429269.54</v>
      </c>
      <c r="H100" s="50">
        <f t="shared" si="5"/>
        <v>-89985.76999999996</v>
      </c>
      <c r="I100" s="50">
        <v>628559.31000000006</v>
      </c>
      <c r="J100" s="49" t="s">
        <v>3257</v>
      </c>
      <c r="K100">
        <f t="shared" si="3"/>
        <v>7</v>
      </c>
      <c r="L100" t="str">
        <f>IF(Tabela1[[#This Row],[Tam Conta]]=17,VLOOKUP(Tabela1[[#This Row],[Conta]],Tabela!$A:$C,3,FALSE),"")</f>
        <v/>
      </c>
      <c r="M100" s="11">
        <f>VLOOKUP(Tabela1[[#This Row],[ANO]]&amp;Tabela1[[#This Row],[Meses]],Tabela!$O:$P,2,FALSE)</f>
        <v>44197</v>
      </c>
      <c r="N100" t="str">
        <f t="shared" si="4"/>
        <v/>
      </c>
      <c r="O100" s="5" t="str">
        <f>IF(Tabela1[[#This Row],[Contas]]="","",IF(Tabela1[[#This Row],[Contas]]="1.01.01.03.01",Tabela1[[#This Row],[Valor Débito]],Tabela1[[#This Row],[Movimento]]))</f>
        <v/>
      </c>
      <c r="P100" s="2" t="str">
        <f>IF(Tabela1[[#This Row],[Contas]]="","",IF(Tabela1[[#This Row],[Tam Conta]]=13,Tabela1[[#This Row],[Descrição Original]],P99))</f>
        <v/>
      </c>
    </row>
    <row r="101" spans="1:16" x14ac:dyDescent="0.35">
      <c r="A101">
        <v>2021</v>
      </c>
      <c r="B101" t="s">
        <v>44</v>
      </c>
      <c r="C101" s="57" t="s">
        <v>368</v>
      </c>
      <c r="D101" s="49" t="s">
        <v>369</v>
      </c>
      <c r="E101" s="50">
        <v>538573.54</v>
      </c>
      <c r="F101" s="50">
        <v>339283.77</v>
      </c>
      <c r="G101" s="50">
        <v>429269.54</v>
      </c>
      <c r="H101" s="50">
        <f t="shared" si="5"/>
        <v>-89985.76999999996</v>
      </c>
      <c r="I101" s="50">
        <v>628559.31000000006</v>
      </c>
      <c r="J101" s="49" t="s">
        <v>3257</v>
      </c>
      <c r="K101">
        <f t="shared" si="3"/>
        <v>10</v>
      </c>
      <c r="L101" t="str">
        <f>IF(Tabela1[[#This Row],[Tam Conta]]=17,VLOOKUP(Tabela1[[#This Row],[Conta]],Tabela!$A:$C,3,FALSE),"")</f>
        <v/>
      </c>
      <c r="M101" s="11">
        <f>VLOOKUP(Tabela1[[#This Row],[ANO]]&amp;Tabela1[[#This Row],[Meses]],Tabela!$O:$P,2,FALSE)</f>
        <v>44197</v>
      </c>
      <c r="N101" t="str">
        <f t="shared" si="4"/>
        <v/>
      </c>
      <c r="O101" s="5" t="str">
        <f>IF(Tabela1[[#This Row],[Contas]]="","",IF(Tabela1[[#This Row],[Contas]]="1.01.01.03.01",Tabela1[[#This Row],[Valor Débito]],Tabela1[[#This Row],[Movimento]]))</f>
        <v/>
      </c>
      <c r="P101" s="2" t="str">
        <f>IF(Tabela1[[#This Row],[Contas]]="","",IF(Tabela1[[#This Row],[Tam Conta]]=13,Tabela1[[#This Row],[Descrição Original]],P100))</f>
        <v/>
      </c>
    </row>
    <row r="102" spans="1:16" x14ac:dyDescent="0.35">
      <c r="A102">
        <v>2021</v>
      </c>
      <c r="B102" t="s">
        <v>44</v>
      </c>
      <c r="C102" s="57" t="s">
        <v>370</v>
      </c>
      <c r="D102" s="49" t="s">
        <v>371</v>
      </c>
      <c r="E102" s="50">
        <v>172821.28</v>
      </c>
      <c r="F102" s="50">
        <v>223455.84</v>
      </c>
      <c r="G102" s="50">
        <v>237103.24</v>
      </c>
      <c r="H102" s="50">
        <f t="shared" si="5"/>
        <v>-13647.399999999994</v>
      </c>
      <c r="I102" s="50">
        <v>186468.68</v>
      </c>
      <c r="J102" s="49" t="s">
        <v>3257</v>
      </c>
      <c r="K102">
        <f t="shared" si="3"/>
        <v>13</v>
      </c>
      <c r="L102" t="str">
        <f>IF(Tabela1[[#This Row],[Tam Conta]]=17,VLOOKUP(Tabela1[[#This Row],[Conta]],Tabela!$A:$C,3,FALSE),"")</f>
        <v/>
      </c>
      <c r="M102" s="11">
        <f>VLOOKUP(Tabela1[[#This Row],[ANO]]&amp;Tabela1[[#This Row],[Meses]],Tabela!$O:$P,2,FALSE)</f>
        <v>44197</v>
      </c>
      <c r="N102" t="str">
        <f t="shared" si="4"/>
        <v>2.01.01.02.01</v>
      </c>
      <c r="O102" s="5">
        <f>IF(Tabela1[[#This Row],[Contas]]="","",IF(Tabela1[[#This Row],[Contas]]="1.01.01.03.01",Tabela1[[#This Row],[Valor Débito]],Tabela1[[#This Row],[Movimento]]))</f>
        <v>-13647.399999999994</v>
      </c>
      <c r="P102" s="2" t="str">
        <f>IF(Tabela1[[#This Row],[Contas]]="","",IF(Tabela1[[#This Row],[Tam Conta]]=13,Tabela1[[#This Row],[Descrição Original]],P101))</f>
        <v>OBRIGACOES TRABALHISTAS</v>
      </c>
    </row>
    <row r="103" spans="1:16" x14ac:dyDescent="0.35">
      <c r="A103">
        <v>2021</v>
      </c>
      <c r="B103" t="s">
        <v>44</v>
      </c>
      <c r="C103" s="57" t="s">
        <v>373</v>
      </c>
      <c r="D103" s="49" t="s">
        <v>374</v>
      </c>
      <c r="E103" s="50">
        <v>172821.28</v>
      </c>
      <c r="F103" s="50">
        <v>223455.84</v>
      </c>
      <c r="G103" s="50">
        <v>237103.24</v>
      </c>
      <c r="H103" s="50">
        <f t="shared" si="5"/>
        <v>-13647.399999999994</v>
      </c>
      <c r="I103" s="50">
        <v>186468.68</v>
      </c>
      <c r="J103" s="49" t="s">
        <v>3257</v>
      </c>
      <c r="K103">
        <f t="shared" si="3"/>
        <v>17</v>
      </c>
      <c r="L103" t="str">
        <f>IF(Tabela1[[#This Row],[Tam Conta]]=17,VLOOKUP(Tabela1[[#This Row],[Conta]],Tabela!$A:$C,3,FALSE),"")</f>
        <v>ORDENADOS A PAGAR</v>
      </c>
      <c r="M103" s="11">
        <f>VLOOKUP(Tabela1[[#This Row],[ANO]]&amp;Tabela1[[#This Row],[Meses]],Tabela!$O:$P,2,FALSE)</f>
        <v>44197</v>
      </c>
      <c r="N103" t="str">
        <f t="shared" si="4"/>
        <v>2.01.01.02.01</v>
      </c>
      <c r="O103" s="5">
        <f>IF(Tabela1[[#This Row],[Contas]]="","",IF(Tabela1[[#This Row],[Contas]]="1.01.01.03.01",Tabela1[[#This Row],[Valor Débito]],Tabela1[[#This Row],[Movimento]]))</f>
        <v>-13647.399999999994</v>
      </c>
      <c r="P103" s="2" t="str">
        <f>IF(Tabela1[[#This Row],[Contas]]="","",IF(Tabela1[[#This Row],[Tam Conta]]=13,Tabela1[[#This Row],[Descrição Original]],P102))</f>
        <v>OBRIGACOES TRABALHISTAS</v>
      </c>
    </row>
    <row r="104" spans="1:16" x14ac:dyDescent="0.35">
      <c r="A104">
        <v>2021</v>
      </c>
      <c r="B104" t="s">
        <v>44</v>
      </c>
      <c r="C104" s="57" t="s">
        <v>382</v>
      </c>
      <c r="D104" s="49" t="s">
        <v>383</v>
      </c>
      <c r="E104" s="50">
        <v>156633.14000000001</v>
      </c>
      <c r="F104" s="50">
        <v>75584.990000000005</v>
      </c>
      <c r="G104" s="50">
        <v>97543.77</v>
      </c>
      <c r="H104" s="50">
        <f t="shared" si="5"/>
        <v>-21958.78</v>
      </c>
      <c r="I104" s="50">
        <v>178591.92</v>
      </c>
      <c r="J104" s="49" t="s">
        <v>3257</v>
      </c>
      <c r="K104">
        <f t="shared" si="3"/>
        <v>13</v>
      </c>
      <c r="L104" t="str">
        <f>IF(Tabela1[[#This Row],[Tam Conta]]=17,VLOOKUP(Tabela1[[#This Row],[Conta]],Tabela!$A:$C,3,FALSE),"")</f>
        <v/>
      </c>
      <c r="M104" s="11">
        <f>VLOOKUP(Tabela1[[#This Row],[ANO]]&amp;Tabela1[[#This Row],[Meses]],Tabela!$O:$P,2,FALSE)</f>
        <v>44197</v>
      </c>
      <c r="N104" t="str">
        <f t="shared" si="4"/>
        <v>2.01.01.02.02</v>
      </c>
      <c r="O104" s="5">
        <f>IF(Tabela1[[#This Row],[Contas]]="","",IF(Tabela1[[#This Row],[Contas]]="1.01.01.03.01",Tabela1[[#This Row],[Valor Débito]],Tabela1[[#This Row],[Movimento]]))</f>
        <v>-21958.78</v>
      </c>
      <c r="P104" s="2" t="str">
        <f>IF(Tabela1[[#This Row],[Contas]]="","",IF(Tabela1[[#This Row],[Tam Conta]]=13,Tabela1[[#This Row],[Descrição Original]],P103))</f>
        <v>OBRIGACOES SOCIAIS</v>
      </c>
    </row>
    <row r="105" spans="1:16" x14ac:dyDescent="0.35">
      <c r="A105">
        <v>2021</v>
      </c>
      <c r="B105" t="s">
        <v>44</v>
      </c>
      <c r="C105" s="57" t="s">
        <v>384</v>
      </c>
      <c r="D105" s="49" t="s">
        <v>385</v>
      </c>
      <c r="E105" s="50">
        <v>23194.720000000001</v>
      </c>
      <c r="F105" s="50">
        <v>0</v>
      </c>
      <c r="G105" s="50">
        <v>17308.59</v>
      </c>
      <c r="H105" s="50">
        <f t="shared" si="5"/>
        <v>-17308.59</v>
      </c>
      <c r="I105" s="50">
        <v>40503.31</v>
      </c>
      <c r="J105" s="49" t="s">
        <v>3257</v>
      </c>
      <c r="K105">
        <f t="shared" si="3"/>
        <v>17</v>
      </c>
      <c r="L105" t="str">
        <f>IF(Tabela1[[#This Row],[Tam Conta]]=17,VLOOKUP(Tabela1[[#This Row],[Conta]],Tabela!$A:$C,3,FALSE),"")</f>
        <v>F.G.T.S. A RECOLHER</v>
      </c>
      <c r="M105" s="11">
        <f>VLOOKUP(Tabela1[[#This Row],[ANO]]&amp;Tabela1[[#This Row],[Meses]],Tabela!$O:$P,2,FALSE)</f>
        <v>44197</v>
      </c>
      <c r="N105" t="str">
        <f t="shared" si="4"/>
        <v>2.01.01.02.02</v>
      </c>
      <c r="O105" s="5">
        <f>IF(Tabela1[[#This Row],[Contas]]="","",IF(Tabela1[[#This Row],[Contas]]="1.01.01.03.01",Tabela1[[#This Row],[Valor Débito]],Tabela1[[#This Row],[Movimento]]))</f>
        <v>-17308.59</v>
      </c>
      <c r="P105" s="2" t="str">
        <f>IF(Tabela1[[#This Row],[Contas]]="","",IF(Tabela1[[#This Row],[Tam Conta]]=13,Tabela1[[#This Row],[Descrição Original]],P104))</f>
        <v>OBRIGACOES SOCIAIS</v>
      </c>
    </row>
    <row r="106" spans="1:16" x14ac:dyDescent="0.35">
      <c r="A106">
        <v>2021</v>
      </c>
      <c r="B106" t="s">
        <v>44</v>
      </c>
      <c r="C106" s="57" t="s">
        <v>386</v>
      </c>
      <c r="D106" s="49" t="s">
        <v>553</v>
      </c>
      <c r="E106" s="50">
        <v>121665.78</v>
      </c>
      <c r="F106" s="50">
        <v>65265.69</v>
      </c>
      <c r="G106" s="50">
        <v>78071.61</v>
      </c>
      <c r="H106" s="50">
        <f t="shared" si="5"/>
        <v>-12805.919999999998</v>
      </c>
      <c r="I106" s="50">
        <v>134471.70000000001</v>
      </c>
      <c r="J106" s="49" t="s">
        <v>3257</v>
      </c>
      <c r="K106">
        <f t="shared" si="3"/>
        <v>17</v>
      </c>
      <c r="L106" t="str">
        <f>IF(Tabela1[[#This Row],[Tam Conta]]=17,VLOOKUP(Tabela1[[#This Row],[Conta]],Tabela!$A:$C,3,FALSE),"")</f>
        <v>I.N.S.S. A RECOLHER</v>
      </c>
      <c r="M106" s="11">
        <f>VLOOKUP(Tabela1[[#This Row],[ANO]]&amp;Tabela1[[#This Row],[Meses]],Tabela!$O:$P,2,FALSE)</f>
        <v>44197</v>
      </c>
      <c r="N106" t="str">
        <f t="shared" si="4"/>
        <v>2.01.01.02.02</v>
      </c>
      <c r="O106" s="5">
        <f>IF(Tabela1[[#This Row],[Contas]]="","",IF(Tabela1[[#This Row],[Contas]]="1.01.01.03.01",Tabela1[[#This Row],[Valor Débito]],Tabela1[[#This Row],[Movimento]]))</f>
        <v>-12805.919999999998</v>
      </c>
      <c r="P106" s="2" t="str">
        <f>IF(Tabela1[[#This Row],[Contas]]="","",IF(Tabela1[[#This Row],[Tam Conta]]=13,Tabela1[[#This Row],[Descrição Original]],P105))</f>
        <v>OBRIGACOES SOCIAIS</v>
      </c>
    </row>
    <row r="107" spans="1:16" x14ac:dyDescent="0.35">
      <c r="A107">
        <v>2021</v>
      </c>
      <c r="B107" t="s">
        <v>44</v>
      </c>
      <c r="C107" s="57" t="s">
        <v>388</v>
      </c>
      <c r="D107" s="49" t="s">
        <v>389</v>
      </c>
      <c r="E107" s="50">
        <v>11772.64</v>
      </c>
      <c r="F107" s="50">
        <v>10319.299999999999</v>
      </c>
      <c r="G107" s="50">
        <v>2163.5700000000002</v>
      </c>
      <c r="H107" s="50">
        <f t="shared" si="5"/>
        <v>8155.73</v>
      </c>
      <c r="I107" s="50">
        <v>3616.91</v>
      </c>
      <c r="J107" s="49" t="s">
        <v>3257</v>
      </c>
      <c r="K107">
        <f t="shared" si="3"/>
        <v>17</v>
      </c>
      <c r="L107" t="str">
        <f>IF(Tabela1[[#This Row],[Tam Conta]]=17,VLOOKUP(Tabela1[[#This Row],[Conta]],Tabela!$A:$C,3,FALSE),"")</f>
        <v>P.I.S. A RECOLHER</v>
      </c>
      <c r="M107" s="11">
        <f>VLOOKUP(Tabela1[[#This Row],[ANO]]&amp;Tabela1[[#This Row],[Meses]],Tabela!$O:$P,2,FALSE)</f>
        <v>44197</v>
      </c>
      <c r="N107" t="str">
        <f t="shared" si="4"/>
        <v>2.01.01.02.02</v>
      </c>
      <c r="O107" s="5">
        <f>IF(Tabela1[[#This Row],[Contas]]="","",IF(Tabela1[[#This Row],[Contas]]="1.01.01.03.01",Tabela1[[#This Row],[Valor Débito]],Tabela1[[#This Row],[Movimento]]))</f>
        <v>8155.73</v>
      </c>
      <c r="P107" s="2" t="str">
        <f>IF(Tabela1[[#This Row],[Contas]]="","",IF(Tabela1[[#This Row],[Tam Conta]]=13,Tabela1[[#This Row],[Descrição Original]],P106))</f>
        <v>OBRIGACOES SOCIAIS</v>
      </c>
    </row>
    <row r="108" spans="1:16" x14ac:dyDescent="0.35">
      <c r="A108">
        <v>2021</v>
      </c>
      <c r="B108" t="s">
        <v>44</v>
      </c>
      <c r="C108" s="57" t="s">
        <v>390</v>
      </c>
      <c r="D108" s="49" t="s">
        <v>391</v>
      </c>
      <c r="E108" s="50">
        <v>39908.959999999999</v>
      </c>
      <c r="F108" s="50">
        <v>40242.94</v>
      </c>
      <c r="G108" s="50">
        <v>32710.93</v>
      </c>
      <c r="H108" s="50">
        <f t="shared" si="5"/>
        <v>7532.010000000002</v>
      </c>
      <c r="I108" s="50">
        <v>32376.95</v>
      </c>
      <c r="J108" s="49" t="s">
        <v>3257</v>
      </c>
      <c r="K108">
        <f t="shared" si="3"/>
        <v>13</v>
      </c>
      <c r="L108" t="str">
        <f>IF(Tabela1[[#This Row],[Tam Conta]]=17,VLOOKUP(Tabela1[[#This Row],[Conta]],Tabela!$A:$C,3,FALSE),"")</f>
        <v/>
      </c>
      <c r="M108" s="11">
        <f>VLOOKUP(Tabela1[[#This Row],[ANO]]&amp;Tabela1[[#This Row],[Meses]],Tabela!$O:$P,2,FALSE)</f>
        <v>44197</v>
      </c>
      <c r="N108" t="str">
        <f t="shared" si="4"/>
        <v>2.01.01.02.03</v>
      </c>
      <c r="O108" s="5">
        <f>IF(Tabela1[[#This Row],[Contas]]="","",IF(Tabela1[[#This Row],[Contas]]="1.01.01.03.01",Tabela1[[#This Row],[Valor Débito]],Tabela1[[#This Row],[Movimento]]))</f>
        <v>7532.010000000002</v>
      </c>
      <c r="P108" s="2" t="str">
        <f>IF(Tabela1[[#This Row],[Contas]]="","",IF(Tabela1[[#This Row],[Tam Conta]]=13,Tabela1[[#This Row],[Descrição Original]],P107))</f>
        <v>OBRIGACOES FISCAIS</v>
      </c>
    </row>
    <row r="109" spans="1:16" x14ac:dyDescent="0.35">
      <c r="A109">
        <v>2021</v>
      </c>
      <c r="B109" t="s">
        <v>44</v>
      </c>
      <c r="C109" s="57" t="s">
        <v>401</v>
      </c>
      <c r="D109" s="49" t="s">
        <v>554</v>
      </c>
      <c r="E109" s="50">
        <v>39908.959999999999</v>
      </c>
      <c r="F109" s="50">
        <v>40242.94</v>
      </c>
      <c r="G109" s="50">
        <v>32710.93</v>
      </c>
      <c r="H109" s="50">
        <f t="shared" si="5"/>
        <v>7532.010000000002</v>
      </c>
      <c r="I109" s="50">
        <v>32376.95</v>
      </c>
      <c r="J109" s="49" t="s">
        <v>3257</v>
      </c>
      <c r="K109">
        <f t="shared" si="3"/>
        <v>17</v>
      </c>
      <c r="L109" t="str">
        <f>IF(Tabela1[[#This Row],[Tam Conta]]=17,VLOOKUP(Tabela1[[#This Row],[Conta]],Tabela!$A:$C,3,FALSE),"")</f>
        <v>I.R.R.F. A RECOLHER SOBRE FOPAG</v>
      </c>
      <c r="M109" s="11">
        <f>VLOOKUP(Tabela1[[#This Row],[ANO]]&amp;Tabela1[[#This Row],[Meses]],Tabela!$O:$P,2,FALSE)</f>
        <v>44197</v>
      </c>
      <c r="N109" t="str">
        <f t="shared" si="4"/>
        <v>2.01.01.02.03</v>
      </c>
      <c r="O109" s="5">
        <f>IF(Tabela1[[#This Row],[Contas]]="","",IF(Tabela1[[#This Row],[Contas]]="1.01.01.03.01",Tabela1[[#This Row],[Valor Débito]],Tabela1[[#This Row],[Movimento]]))</f>
        <v>7532.010000000002</v>
      </c>
      <c r="P109" s="2" t="str">
        <f>IF(Tabela1[[#This Row],[Contas]]="","",IF(Tabela1[[#This Row],[Tam Conta]]=13,Tabela1[[#This Row],[Descrição Original]],P108))</f>
        <v>OBRIGACOES FISCAIS</v>
      </c>
    </row>
    <row r="110" spans="1:16" x14ac:dyDescent="0.35">
      <c r="A110">
        <v>2021</v>
      </c>
      <c r="B110" t="s">
        <v>44</v>
      </c>
      <c r="C110" s="57" t="s">
        <v>410</v>
      </c>
      <c r="D110" s="49" t="s">
        <v>411</v>
      </c>
      <c r="E110" s="50">
        <v>169210.16</v>
      </c>
      <c r="F110" s="50">
        <v>0</v>
      </c>
      <c r="G110" s="50">
        <v>61911.6</v>
      </c>
      <c r="H110" s="50">
        <f t="shared" si="5"/>
        <v>-61911.6</v>
      </c>
      <c r="I110" s="50">
        <v>231121.76</v>
      </c>
      <c r="J110" s="49" t="s">
        <v>3257</v>
      </c>
      <c r="K110">
        <f t="shared" si="3"/>
        <v>13</v>
      </c>
      <c r="L110" t="str">
        <f>IF(Tabela1[[#This Row],[Tam Conta]]=17,VLOOKUP(Tabela1[[#This Row],[Conta]],Tabela!$A:$C,3,FALSE),"")</f>
        <v/>
      </c>
      <c r="M110" s="11">
        <f>VLOOKUP(Tabela1[[#This Row],[ANO]]&amp;Tabela1[[#This Row],[Meses]],Tabela!$O:$P,2,FALSE)</f>
        <v>44197</v>
      </c>
      <c r="N110" t="str">
        <f t="shared" si="4"/>
        <v>2.01.01.02.05</v>
      </c>
      <c r="O110" s="5">
        <f>IF(Tabela1[[#This Row],[Contas]]="","",IF(Tabela1[[#This Row],[Contas]]="1.01.01.03.01",Tabela1[[#This Row],[Valor Débito]],Tabela1[[#This Row],[Movimento]]))</f>
        <v>-61911.6</v>
      </c>
      <c r="P110" s="2" t="str">
        <f>IF(Tabela1[[#This Row],[Contas]]="","",IF(Tabela1[[#This Row],[Tam Conta]]=13,Tabela1[[#This Row],[Descrição Original]],P109))</f>
        <v>PROVISOES</v>
      </c>
    </row>
    <row r="111" spans="1:16" x14ac:dyDescent="0.35">
      <c r="A111">
        <v>2021</v>
      </c>
      <c r="B111" t="s">
        <v>44</v>
      </c>
      <c r="C111" s="57" t="s">
        <v>412</v>
      </c>
      <c r="D111" s="49" t="s">
        <v>413</v>
      </c>
      <c r="E111" s="50">
        <v>0</v>
      </c>
      <c r="F111" s="50">
        <v>0</v>
      </c>
      <c r="G111" s="50">
        <v>18954.62</v>
      </c>
      <c r="H111" s="50">
        <f t="shared" si="5"/>
        <v>-18954.62</v>
      </c>
      <c r="I111" s="50">
        <v>18954.62</v>
      </c>
      <c r="J111" s="49" t="s">
        <v>3257</v>
      </c>
      <c r="K111">
        <f t="shared" si="3"/>
        <v>17</v>
      </c>
      <c r="L111" t="str">
        <f>IF(Tabela1[[#This Row],[Tam Conta]]=17,VLOOKUP(Tabela1[[#This Row],[Conta]],Tabela!$A:$C,3,FALSE),"")</f>
        <v>PROVISAO PARA   13 SALARIO</v>
      </c>
      <c r="M111" s="11">
        <f>VLOOKUP(Tabela1[[#This Row],[ANO]]&amp;Tabela1[[#This Row],[Meses]],Tabela!$O:$P,2,FALSE)</f>
        <v>44197</v>
      </c>
      <c r="N111" t="str">
        <f t="shared" si="4"/>
        <v>2.01.01.02.05</v>
      </c>
      <c r="O111" s="5">
        <f>IF(Tabela1[[#This Row],[Contas]]="","",IF(Tabela1[[#This Row],[Contas]]="1.01.01.03.01",Tabela1[[#This Row],[Valor Débito]],Tabela1[[#This Row],[Movimento]]))</f>
        <v>-18954.62</v>
      </c>
      <c r="P111" s="2" t="str">
        <f>IF(Tabela1[[#This Row],[Contas]]="","",IF(Tabela1[[#This Row],[Tam Conta]]=13,Tabela1[[#This Row],[Descrição Original]],P110))</f>
        <v>PROVISOES</v>
      </c>
    </row>
    <row r="112" spans="1:16" x14ac:dyDescent="0.35">
      <c r="A112">
        <v>2021</v>
      </c>
      <c r="B112" t="s">
        <v>44</v>
      </c>
      <c r="C112" s="57" t="s">
        <v>415</v>
      </c>
      <c r="D112" s="49" t="s">
        <v>555</v>
      </c>
      <c r="E112" s="50">
        <v>123691.83</v>
      </c>
      <c r="F112" s="50">
        <v>0</v>
      </c>
      <c r="G112" s="50">
        <v>26302.28</v>
      </c>
      <c r="H112" s="50">
        <f t="shared" si="5"/>
        <v>-26302.28</v>
      </c>
      <c r="I112" s="50">
        <v>149994.10999999999</v>
      </c>
      <c r="J112" s="49" t="s">
        <v>3257</v>
      </c>
      <c r="K112">
        <f t="shared" si="3"/>
        <v>17</v>
      </c>
      <c r="L112" t="str">
        <f>IF(Tabela1[[#This Row],[Tam Conta]]=17,VLOOKUP(Tabela1[[#This Row],[Conta]],Tabela!$A:$C,3,FALSE),"")</f>
        <v>PROVISAO PARA   FERIAS</v>
      </c>
      <c r="M112" s="11">
        <f>VLOOKUP(Tabela1[[#This Row],[ANO]]&amp;Tabela1[[#This Row],[Meses]],Tabela!$O:$P,2,FALSE)</f>
        <v>44197</v>
      </c>
      <c r="N112" t="str">
        <f t="shared" si="4"/>
        <v>2.01.01.02.05</v>
      </c>
      <c r="O112" s="5">
        <f>IF(Tabela1[[#This Row],[Contas]]="","",IF(Tabela1[[#This Row],[Contas]]="1.01.01.03.01",Tabela1[[#This Row],[Valor Débito]],Tabela1[[#This Row],[Movimento]]))</f>
        <v>-26302.28</v>
      </c>
      <c r="P112" s="2" t="str">
        <f>IF(Tabela1[[#This Row],[Contas]]="","",IF(Tabela1[[#This Row],[Tam Conta]]=13,Tabela1[[#This Row],[Descrição Original]],P111))</f>
        <v>PROVISOES</v>
      </c>
    </row>
    <row r="113" spans="1:16" x14ac:dyDescent="0.35">
      <c r="A113">
        <v>2021</v>
      </c>
      <c r="B113" t="s">
        <v>44</v>
      </c>
      <c r="C113" s="57" t="s">
        <v>418</v>
      </c>
      <c r="D113" s="49" t="s">
        <v>556</v>
      </c>
      <c r="E113" s="50">
        <v>0</v>
      </c>
      <c r="F113" s="50">
        <v>0</v>
      </c>
      <c r="G113" s="50">
        <v>6975.38</v>
      </c>
      <c r="H113" s="50">
        <f t="shared" si="5"/>
        <v>-6975.38</v>
      </c>
      <c r="I113" s="50">
        <v>6975.38</v>
      </c>
      <c r="J113" s="49" t="s">
        <v>3257</v>
      </c>
      <c r="K113">
        <f t="shared" si="3"/>
        <v>17</v>
      </c>
      <c r="L113" t="str">
        <f>IF(Tabela1[[#This Row],[Tam Conta]]=17,VLOOKUP(Tabela1[[#This Row],[Conta]],Tabela!$A:$C,3,FALSE),"")</f>
        <v>PROVISAO PARA   ENCARGOS SOCIAIS - 13º SALARIO</v>
      </c>
      <c r="M113" s="11">
        <f>VLOOKUP(Tabela1[[#This Row],[ANO]]&amp;Tabela1[[#This Row],[Meses]],Tabela!$O:$P,2,FALSE)</f>
        <v>44197</v>
      </c>
      <c r="N113" t="str">
        <f t="shared" si="4"/>
        <v>2.01.01.02.05</v>
      </c>
      <c r="O113" s="5">
        <f>IF(Tabela1[[#This Row],[Contas]]="","",IF(Tabela1[[#This Row],[Contas]]="1.01.01.03.01",Tabela1[[#This Row],[Valor Débito]],Tabela1[[#This Row],[Movimento]]))</f>
        <v>-6975.38</v>
      </c>
      <c r="P113" s="2" t="str">
        <f>IF(Tabela1[[#This Row],[Contas]]="","",IF(Tabela1[[#This Row],[Tam Conta]]=13,Tabela1[[#This Row],[Descrição Original]],P112))</f>
        <v>PROVISOES</v>
      </c>
    </row>
    <row r="114" spans="1:16" x14ac:dyDescent="0.35">
      <c r="A114">
        <v>2021</v>
      </c>
      <c r="B114" t="s">
        <v>44</v>
      </c>
      <c r="C114" s="57" t="s">
        <v>421</v>
      </c>
      <c r="D114" s="49" t="s">
        <v>557</v>
      </c>
      <c r="E114" s="50">
        <v>45518.33</v>
      </c>
      <c r="F114" s="50">
        <v>0</v>
      </c>
      <c r="G114" s="50">
        <v>9679.32</v>
      </c>
      <c r="H114" s="50">
        <f t="shared" si="5"/>
        <v>-9679.32</v>
      </c>
      <c r="I114" s="50">
        <v>55197.65</v>
      </c>
      <c r="J114" s="49" t="s">
        <v>3257</v>
      </c>
      <c r="K114">
        <f t="shared" si="3"/>
        <v>17</v>
      </c>
      <c r="L114" t="str">
        <f>IF(Tabela1[[#This Row],[Tam Conta]]=17,VLOOKUP(Tabela1[[#This Row],[Conta]],Tabela!$A:$C,3,FALSE),"")</f>
        <v>PROVISÃO PARA ENCARGOS SOCIAIS - FERIAS</v>
      </c>
      <c r="M114" s="11">
        <f>VLOOKUP(Tabela1[[#This Row],[ANO]]&amp;Tabela1[[#This Row],[Meses]],Tabela!$O:$P,2,FALSE)</f>
        <v>44197</v>
      </c>
      <c r="N114" t="str">
        <f t="shared" si="4"/>
        <v>2.01.01.02.05</v>
      </c>
      <c r="O114" s="5">
        <f>IF(Tabela1[[#This Row],[Contas]]="","",IF(Tabela1[[#This Row],[Contas]]="1.01.01.03.01",Tabela1[[#This Row],[Valor Débito]],Tabela1[[#This Row],[Movimento]]))</f>
        <v>-9679.32</v>
      </c>
      <c r="P114" s="2" t="str">
        <f>IF(Tabela1[[#This Row],[Contas]]="","",IF(Tabela1[[#This Row],[Tam Conta]]=13,Tabela1[[#This Row],[Descrição Original]],P113))</f>
        <v>PROVISOES</v>
      </c>
    </row>
    <row r="115" spans="1:16" x14ac:dyDescent="0.35">
      <c r="A115">
        <v>2021</v>
      </c>
      <c r="B115" t="s">
        <v>44</v>
      </c>
      <c r="C115" s="57" t="s">
        <v>426</v>
      </c>
      <c r="D115" s="49" t="s">
        <v>427</v>
      </c>
      <c r="E115" s="50">
        <v>73596184.239999995</v>
      </c>
      <c r="F115" s="50">
        <v>303147.5</v>
      </c>
      <c r="G115" s="50">
        <v>0</v>
      </c>
      <c r="H115" s="50">
        <f t="shared" si="5"/>
        <v>303147.5</v>
      </c>
      <c r="I115" s="50">
        <v>73293036.739999995</v>
      </c>
      <c r="J115" s="49" t="s">
        <v>3257</v>
      </c>
      <c r="K115">
        <f t="shared" si="3"/>
        <v>7</v>
      </c>
      <c r="L115" t="str">
        <f>IF(Tabela1[[#This Row],[Tam Conta]]=17,VLOOKUP(Tabela1[[#This Row],[Conta]],Tabela!$A:$C,3,FALSE),"")</f>
        <v/>
      </c>
      <c r="M115" s="11">
        <f>VLOOKUP(Tabela1[[#This Row],[ANO]]&amp;Tabela1[[#This Row],[Meses]],Tabela!$O:$P,2,FALSE)</f>
        <v>44197</v>
      </c>
      <c r="N115" t="str">
        <f t="shared" si="4"/>
        <v/>
      </c>
      <c r="O115" s="5" t="str">
        <f>IF(Tabela1[[#This Row],[Contas]]="","",IF(Tabela1[[#This Row],[Contas]]="1.01.01.03.01",Tabela1[[#This Row],[Valor Débito]],Tabela1[[#This Row],[Movimento]]))</f>
        <v/>
      </c>
      <c r="P115" s="2" t="str">
        <f>IF(Tabela1[[#This Row],[Contas]]="","",IF(Tabela1[[#This Row],[Tam Conta]]=13,Tabela1[[#This Row],[Descrição Original]],P114))</f>
        <v/>
      </c>
    </row>
    <row r="116" spans="1:16" x14ac:dyDescent="0.35">
      <c r="A116">
        <v>2021</v>
      </c>
      <c r="B116" t="s">
        <v>44</v>
      </c>
      <c r="C116" s="57" t="s">
        <v>429</v>
      </c>
      <c r="D116" s="49" t="s">
        <v>430</v>
      </c>
      <c r="E116" s="50">
        <v>73596184.239999995</v>
      </c>
      <c r="F116" s="50">
        <v>303147.5</v>
      </c>
      <c r="G116" s="50">
        <v>0</v>
      </c>
      <c r="H116" s="50">
        <f t="shared" si="5"/>
        <v>303147.5</v>
      </c>
      <c r="I116" s="50">
        <v>73293036.739999995</v>
      </c>
      <c r="J116" s="49" t="s">
        <v>3257</v>
      </c>
      <c r="K116">
        <f t="shared" si="3"/>
        <v>10</v>
      </c>
      <c r="L116" t="str">
        <f>IF(Tabela1[[#This Row],[Tam Conta]]=17,VLOOKUP(Tabela1[[#This Row],[Conta]],Tabela!$A:$C,3,FALSE),"")</f>
        <v/>
      </c>
      <c r="M116" s="11">
        <f>VLOOKUP(Tabela1[[#This Row],[ANO]]&amp;Tabela1[[#This Row],[Meses]],Tabela!$O:$P,2,FALSE)</f>
        <v>44197</v>
      </c>
      <c r="N116" t="str">
        <f t="shared" si="4"/>
        <v/>
      </c>
      <c r="O116" s="5" t="str">
        <f>IF(Tabela1[[#This Row],[Contas]]="","",IF(Tabela1[[#This Row],[Contas]]="1.01.01.03.01",Tabela1[[#This Row],[Valor Débito]],Tabela1[[#This Row],[Movimento]]))</f>
        <v/>
      </c>
      <c r="P116" s="2" t="str">
        <f>IF(Tabela1[[#This Row],[Contas]]="","",IF(Tabela1[[#This Row],[Tam Conta]]=13,Tabela1[[#This Row],[Descrição Original]],P115))</f>
        <v/>
      </c>
    </row>
    <row r="117" spans="1:16" x14ac:dyDescent="0.35">
      <c r="A117">
        <v>2021</v>
      </c>
      <c r="B117" t="s">
        <v>44</v>
      </c>
      <c r="C117" s="57" t="s">
        <v>432</v>
      </c>
      <c r="D117" s="49" t="s">
        <v>433</v>
      </c>
      <c r="E117" s="50">
        <v>73596184.239999995</v>
      </c>
      <c r="F117" s="50">
        <v>303147.5</v>
      </c>
      <c r="G117" s="50">
        <v>0</v>
      </c>
      <c r="H117" s="50">
        <f t="shared" si="5"/>
        <v>303147.5</v>
      </c>
      <c r="I117" s="50">
        <v>73293036.739999995</v>
      </c>
      <c r="J117" s="49" t="s">
        <v>3257</v>
      </c>
      <c r="K117">
        <f t="shared" si="3"/>
        <v>13</v>
      </c>
      <c r="L117" t="str">
        <f>IF(Tabela1[[#This Row],[Tam Conta]]=17,VLOOKUP(Tabela1[[#This Row],[Conta]],Tabela!$A:$C,3,FALSE),"")</f>
        <v/>
      </c>
      <c r="M117" s="11">
        <f>VLOOKUP(Tabela1[[#This Row],[ANO]]&amp;Tabela1[[#This Row],[Meses]],Tabela!$O:$P,2,FALSE)</f>
        <v>44197</v>
      </c>
      <c r="N117" t="str">
        <f t="shared" si="4"/>
        <v>2.02.01.02.01</v>
      </c>
      <c r="O117" s="5">
        <f>IF(Tabela1[[#This Row],[Contas]]="","",IF(Tabela1[[#This Row],[Contas]]="1.01.01.03.01",Tabela1[[#This Row],[Valor Débito]],Tabela1[[#This Row],[Movimento]]))</f>
        <v>303147.5</v>
      </c>
      <c r="P117" s="2" t="str">
        <f>IF(Tabela1[[#This Row],[Contas]]="","",IF(Tabela1[[#This Row],[Tam Conta]]=13,Tabela1[[#This Row],[Descrição Original]],P116))</f>
        <v>RECEITAS DIFERIDAS</v>
      </c>
    </row>
    <row r="118" spans="1:16" x14ac:dyDescent="0.35">
      <c r="A118">
        <v>2021</v>
      </c>
      <c r="B118" t="s">
        <v>44</v>
      </c>
      <c r="C118" s="57" t="s">
        <v>558</v>
      </c>
      <c r="D118" s="49" t="s">
        <v>559</v>
      </c>
      <c r="E118" s="50">
        <v>73596184.239999995</v>
      </c>
      <c r="F118" s="50">
        <v>303147.5</v>
      </c>
      <c r="G118" s="50">
        <v>0</v>
      </c>
      <c r="H118" s="50">
        <f t="shared" si="5"/>
        <v>303147.5</v>
      </c>
      <c r="I118" s="50">
        <v>73293036.739999995</v>
      </c>
      <c r="J118" s="49" t="s">
        <v>3257</v>
      </c>
      <c r="K118">
        <f t="shared" si="3"/>
        <v>17</v>
      </c>
      <c r="L118" t="str">
        <f>IF(Tabela1[[#This Row],[Tam Conta]]=17,VLOOKUP(Tabela1[[#This Row],[Conta]],Tabela!$A:$C,3,FALSE),"")</f>
        <v>SUBVENCAO E ASSISTENCIA GOVERNAMENTAIS A REALIZAR L.P</v>
      </c>
      <c r="M118" s="11">
        <f>VLOOKUP(Tabela1[[#This Row],[ANO]]&amp;Tabela1[[#This Row],[Meses]],Tabela!$O:$P,2,FALSE)</f>
        <v>44197</v>
      </c>
      <c r="N118" t="str">
        <f t="shared" si="4"/>
        <v>2.02.01.02.01</v>
      </c>
      <c r="O118" s="5">
        <f>IF(Tabela1[[#This Row],[Contas]]="","",IF(Tabela1[[#This Row],[Contas]]="1.01.01.03.01",Tabela1[[#This Row],[Valor Débito]],Tabela1[[#This Row],[Movimento]]))</f>
        <v>303147.5</v>
      </c>
      <c r="P118" s="2" t="str">
        <f>IF(Tabela1[[#This Row],[Contas]]="","",IF(Tabela1[[#This Row],[Tam Conta]]=13,Tabela1[[#This Row],[Descrição Original]],P117))</f>
        <v>RECEITAS DIFERIDAS</v>
      </c>
    </row>
    <row r="119" spans="1:16" x14ac:dyDescent="0.35">
      <c r="A119">
        <v>2021</v>
      </c>
      <c r="B119" t="s">
        <v>44</v>
      </c>
      <c r="C119" s="59" t="s">
        <v>3259</v>
      </c>
      <c r="D119" s="49" t="s">
        <v>560</v>
      </c>
      <c r="E119" s="50">
        <v>1433646.3</v>
      </c>
      <c r="F119" s="50">
        <v>0</v>
      </c>
      <c r="G119" s="50">
        <v>321760.62</v>
      </c>
      <c r="H119" s="50">
        <f t="shared" si="5"/>
        <v>-321760.62</v>
      </c>
      <c r="I119" s="50">
        <v>1755406.92</v>
      </c>
      <c r="J119" s="49" t="s">
        <v>3257</v>
      </c>
      <c r="K119">
        <f t="shared" si="3"/>
        <v>1</v>
      </c>
      <c r="L119" t="str">
        <f>IF(Tabela1[[#This Row],[Tam Conta]]=17,VLOOKUP(Tabela1[[#This Row],[Conta]],Tabela!$A:$C,3,FALSE),"")</f>
        <v/>
      </c>
      <c r="M119" s="11">
        <f>VLOOKUP(Tabela1[[#This Row],[ANO]]&amp;Tabela1[[#This Row],[Meses]],Tabela!$O:$P,2,FALSE)</f>
        <v>44197</v>
      </c>
      <c r="N119" t="str">
        <f t="shared" si="4"/>
        <v/>
      </c>
      <c r="O119" s="5" t="str">
        <f>IF(Tabela1[[#This Row],[Contas]]="","",IF(Tabela1[[#This Row],[Contas]]="1.01.01.03.01",Tabela1[[#This Row],[Valor Débito]],Tabela1[[#This Row],[Movimento]]))</f>
        <v/>
      </c>
      <c r="P119" s="2" t="str">
        <f>IF(Tabela1[[#This Row],[Contas]]="","",IF(Tabela1[[#This Row],[Tam Conta]]=13,Tabela1[[#This Row],[Descrição Original]],P118))</f>
        <v/>
      </c>
    </row>
    <row r="120" spans="1:16" x14ac:dyDescent="0.35">
      <c r="A120">
        <v>2021</v>
      </c>
      <c r="B120" t="s">
        <v>44</v>
      </c>
      <c r="C120" s="57" t="s">
        <v>450</v>
      </c>
      <c r="D120" s="49" t="s">
        <v>451</v>
      </c>
      <c r="E120" s="50">
        <v>1433646.3</v>
      </c>
      <c r="F120" s="50">
        <v>0</v>
      </c>
      <c r="G120" s="50">
        <v>321760.62</v>
      </c>
      <c r="H120" s="50">
        <f t="shared" si="5"/>
        <v>-321760.62</v>
      </c>
      <c r="I120" s="50">
        <v>1755406.92</v>
      </c>
      <c r="J120" s="49" t="s">
        <v>3257</v>
      </c>
      <c r="K120">
        <f t="shared" si="3"/>
        <v>4</v>
      </c>
      <c r="L120" t="str">
        <f>IF(Tabela1[[#This Row],[Tam Conta]]=17,VLOOKUP(Tabela1[[#This Row],[Conta]],Tabela!$A:$C,3,FALSE),"")</f>
        <v/>
      </c>
      <c r="M120" s="11">
        <f>VLOOKUP(Tabela1[[#This Row],[ANO]]&amp;Tabela1[[#This Row],[Meses]],Tabela!$O:$P,2,FALSE)</f>
        <v>44197</v>
      </c>
      <c r="N120" t="str">
        <f t="shared" si="4"/>
        <v/>
      </c>
      <c r="O120" s="5" t="str">
        <f>IF(Tabela1[[#This Row],[Contas]]="","",IF(Tabela1[[#This Row],[Contas]]="1.01.01.03.01",Tabela1[[#This Row],[Valor Débito]],Tabela1[[#This Row],[Movimento]]))</f>
        <v/>
      </c>
      <c r="P120" s="2" t="str">
        <f>IF(Tabela1[[#This Row],[Contas]]="","",IF(Tabela1[[#This Row],[Tam Conta]]=13,Tabela1[[#This Row],[Descrição Original]],P119))</f>
        <v/>
      </c>
    </row>
    <row r="121" spans="1:16" x14ac:dyDescent="0.35">
      <c r="A121">
        <v>2021</v>
      </c>
      <c r="B121" t="s">
        <v>44</v>
      </c>
      <c r="C121" s="57" t="s">
        <v>452</v>
      </c>
      <c r="D121" s="49" t="s">
        <v>453</v>
      </c>
      <c r="E121" s="50">
        <v>1433646.3</v>
      </c>
      <c r="F121" s="50">
        <v>0</v>
      </c>
      <c r="G121" s="50">
        <v>321760.62</v>
      </c>
      <c r="H121" s="50">
        <f t="shared" si="5"/>
        <v>-321760.62</v>
      </c>
      <c r="I121" s="50">
        <v>1755406.92</v>
      </c>
      <c r="J121" s="49" t="s">
        <v>3257</v>
      </c>
      <c r="K121">
        <f t="shared" si="3"/>
        <v>7</v>
      </c>
      <c r="L121" t="str">
        <f>IF(Tabela1[[#This Row],[Tam Conta]]=17,VLOOKUP(Tabela1[[#This Row],[Conta]],Tabela!$A:$C,3,FALSE),"")</f>
        <v/>
      </c>
      <c r="M121" s="11">
        <f>VLOOKUP(Tabela1[[#This Row],[ANO]]&amp;Tabela1[[#This Row],[Meses]],Tabela!$O:$P,2,FALSE)</f>
        <v>44197</v>
      </c>
      <c r="N121" t="str">
        <f t="shared" si="4"/>
        <v/>
      </c>
      <c r="O121" s="5" t="str">
        <f>IF(Tabela1[[#This Row],[Contas]]="","",IF(Tabela1[[#This Row],[Contas]]="1.01.01.03.01",Tabela1[[#This Row],[Valor Débito]],Tabela1[[#This Row],[Movimento]]))</f>
        <v/>
      </c>
      <c r="P121" s="2" t="str">
        <f>IF(Tabela1[[#This Row],[Contas]]="","",IF(Tabela1[[#This Row],[Tam Conta]]=13,Tabela1[[#This Row],[Descrição Original]],P120))</f>
        <v/>
      </c>
    </row>
    <row r="122" spans="1:16" x14ac:dyDescent="0.35">
      <c r="A122">
        <v>2021</v>
      </c>
      <c r="B122" t="s">
        <v>44</v>
      </c>
      <c r="C122" s="57" t="s">
        <v>454</v>
      </c>
      <c r="D122" s="49" t="s">
        <v>455</v>
      </c>
      <c r="E122" s="50">
        <v>1404365.9</v>
      </c>
      <c r="F122" s="50">
        <v>0</v>
      </c>
      <c r="G122" s="50">
        <v>303147.5</v>
      </c>
      <c r="H122" s="50">
        <f t="shared" si="5"/>
        <v>-303147.5</v>
      </c>
      <c r="I122" s="50">
        <v>1707513.4</v>
      </c>
      <c r="J122" s="49" t="s">
        <v>3257</v>
      </c>
      <c r="K122">
        <f t="shared" si="3"/>
        <v>10</v>
      </c>
      <c r="L122" t="str">
        <f>IF(Tabela1[[#This Row],[Tam Conta]]=17,VLOOKUP(Tabela1[[#This Row],[Conta]],Tabela!$A:$C,3,FALSE),"")</f>
        <v/>
      </c>
      <c r="M122" s="11">
        <f>VLOOKUP(Tabela1[[#This Row],[ANO]]&amp;Tabela1[[#This Row],[Meses]],Tabela!$O:$P,2,FALSE)</f>
        <v>44197</v>
      </c>
      <c r="N122" t="str">
        <f t="shared" si="4"/>
        <v/>
      </c>
      <c r="O122" s="5" t="str">
        <f>IF(Tabela1[[#This Row],[Contas]]="","",IF(Tabela1[[#This Row],[Contas]]="1.01.01.03.01",Tabela1[[#This Row],[Valor Débito]],Tabela1[[#This Row],[Movimento]]))</f>
        <v/>
      </c>
      <c r="P122" s="2" t="str">
        <f>IF(Tabela1[[#This Row],[Contas]]="","",IF(Tabela1[[#This Row],[Tam Conta]]=13,Tabela1[[#This Row],[Descrição Original]],P121))</f>
        <v/>
      </c>
    </row>
    <row r="123" spans="1:16" x14ac:dyDescent="0.35">
      <c r="A123">
        <v>2021</v>
      </c>
      <c r="B123" t="s">
        <v>44</v>
      </c>
      <c r="C123" s="57" t="s">
        <v>561</v>
      </c>
      <c r="D123" s="49" t="s">
        <v>562</v>
      </c>
      <c r="E123" s="50">
        <v>1403815.76</v>
      </c>
      <c r="F123" s="50">
        <v>0</v>
      </c>
      <c r="G123" s="50">
        <v>303147.5</v>
      </c>
      <c r="H123" s="50">
        <f t="shared" si="5"/>
        <v>-303147.5</v>
      </c>
      <c r="I123" s="50">
        <v>1706963.26</v>
      </c>
      <c r="J123" s="49" t="s">
        <v>3257</v>
      </c>
      <c r="K123">
        <f t="shared" si="3"/>
        <v>13</v>
      </c>
      <c r="L123" t="str">
        <f>IF(Tabela1[[#This Row],[Tam Conta]]=17,VLOOKUP(Tabela1[[#This Row],[Conta]],Tabela!$A:$C,3,FALSE),"")</f>
        <v/>
      </c>
      <c r="M123" s="11">
        <f>VLOOKUP(Tabela1[[#This Row],[ANO]]&amp;Tabela1[[#This Row],[Meses]],Tabela!$O:$P,2,FALSE)</f>
        <v>44197</v>
      </c>
      <c r="N123" t="str">
        <f t="shared" si="4"/>
        <v>3.01.01.05.03</v>
      </c>
      <c r="O123" s="5">
        <f>IF(Tabela1[[#This Row],[Contas]]="","",IF(Tabela1[[#This Row],[Contas]]="1.01.01.03.01",Tabela1[[#This Row],[Valor Débito]],Tabela1[[#This Row],[Movimento]]))</f>
        <v>-303147.5</v>
      </c>
      <c r="P123" s="2" t="str">
        <f>IF(Tabela1[[#This Row],[Contas]]="","",IF(Tabela1[[#This Row],[Tam Conta]]=13,Tabela1[[#This Row],[Descrição Original]],P122))</f>
        <v>RECEITAS COM SUBVENCOES</v>
      </c>
    </row>
    <row r="124" spans="1:16" x14ac:dyDescent="0.35">
      <c r="A124">
        <v>2021</v>
      </c>
      <c r="B124" t="s">
        <v>44</v>
      </c>
      <c r="C124" s="57" t="s">
        <v>563</v>
      </c>
      <c r="D124" s="49" t="s">
        <v>564</v>
      </c>
      <c r="E124" s="50">
        <v>1403815.76</v>
      </c>
      <c r="F124" s="50">
        <v>0</v>
      </c>
      <c r="G124" s="50">
        <v>303147.5</v>
      </c>
      <c r="H124" s="50">
        <f t="shared" si="5"/>
        <v>-303147.5</v>
      </c>
      <c r="I124" s="50">
        <v>1706963.26</v>
      </c>
      <c r="J124" s="49" t="s">
        <v>3257</v>
      </c>
      <c r="K124">
        <f t="shared" si="3"/>
        <v>17</v>
      </c>
      <c r="L124" t="str">
        <f>IF(Tabela1[[#This Row],[Tam Conta]]=17,VLOOKUP(Tabela1[[#This Row],[Conta]],Tabela!$A:$C,3,FALSE),"")</f>
        <v>ESTADUAL</v>
      </c>
      <c r="M124" s="11">
        <f>VLOOKUP(Tabela1[[#This Row],[ANO]]&amp;Tabela1[[#This Row],[Meses]],Tabela!$O:$P,2,FALSE)</f>
        <v>44197</v>
      </c>
      <c r="N124" t="str">
        <f t="shared" si="4"/>
        <v>3.01.01.05.03</v>
      </c>
      <c r="O124" s="5">
        <f>IF(Tabela1[[#This Row],[Contas]]="","",IF(Tabela1[[#This Row],[Contas]]="1.01.01.03.01",Tabela1[[#This Row],[Valor Débito]],Tabela1[[#This Row],[Movimento]]))</f>
        <v>-303147.5</v>
      </c>
      <c r="P124" s="2" t="str">
        <f>IF(Tabela1[[#This Row],[Contas]]="","",IF(Tabela1[[#This Row],[Tam Conta]]=13,Tabela1[[#This Row],[Descrição Original]],P123))</f>
        <v>RECEITAS COM SUBVENCOES</v>
      </c>
    </row>
    <row r="125" spans="1:16" x14ac:dyDescent="0.35">
      <c r="A125">
        <v>2021</v>
      </c>
      <c r="B125" t="s">
        <v>44</v>
      </c>
      <c r="C125" s="57" t="s">
        <v>470</v>
      </c>
      <c r="D125" s="49" t="s">
        <v>471</v>
      </c>
      <c r="E125" s="50">
        <v>550.14</v>
      </c>
      <c r="F125" s="50">
        <v>0</v>
      </c>
      <c r="G125" s="50">
        <v>0</v>
      </c>
      <c r="H125" s="50">
        <f t="shared" si="5"/>
        <v>0</v>
      </c>
      <c r="I125" s="50">
        <v>550.14</v>
      </c>
      <c r="J125" s="49" t="s">
        <v>3257</v>
      </c>
      <c r="K125">
        <f t="shared" si="3"/>
        <v>13</v>
      </c>
      <c r="L125" t="str">
        <f>IF(Tabela1[[#This Row],[Tam Conta]]=17,VLOOKUP(Tabela1[[#This Row],[Conta]],Tabela!$A:$C,3,FALSE),"")</f>
        <v/>
      </c>
      <c r="M125" s="11">
        <f>VLOOKUP(Tabela1[[#This Row],[ANO]]&amp;Tabela1[[#This Row],[Meses]],Tabela!$O:$P,2,FALSE)</f>
        <v>44197</v>
      </c>
      <c r="N125" t="str">
        <f t="shared" si="4"/>
        <v>3.01.01.05.05</v>
      </c>
      <c r="O125" s="5">
        <f>IF(Tabela1[[#This Row],[Contas]]="","",IF(Tabela1[[#This Row],[Contas]]="1.01.01.03.01",Tabela1[[#This Row],[Valor Débito]],Tabela1[[#This Row],[Movimento]]))</f>
        <v>0</v>
      </c>
      <c r="P125" s="2" t="str">
        <f>IF(Tabela1[[#This Row],[Contas]]="","",IF(Tabela1[[#This Row],[Tam Conta]]=13,Tabela1[[#This Row],[Descrição Original]],P124))</f>
        <v>RECEITAS DIVERSAS</v>
      </c>
    </row>
    <row r="126" spans="1:16" x14ac:dyDescent="0.35">
      <c r="A126">
        <v>2021</v>
      </c>
      <c r="B126" t="s">
        <v>44</v>
      </c>
      <c r="C126" s="57" t="s">
        <v>472</v>
      </c>
      <c r="D126" s="49" t="s">
        <v>473</v>
      </c>
      <c r="E126" s="50">
        <v>550.14</v>
      </c>
      <c r="F126" s="50">
        <v>0</v>
      </c>
      <c r="G126" s="50">
        <v>0</v>
      </c>
      <c r="H126" s="50">
        <f t="shared" si="5"/>
        <v>0</v>
      </c>
      <c r="I126" s="50">
        <v>550.14</v>
      </c>
      <c r="J126" s="49" t="s">
        <v>3257</v>
      </c>
      <c r="K126">
        <f t="shared" si="3"/>
        <v>17</v>
      </c>
      <c r="L126" t="str">
        <f>IF(Tabela1[[#This Row],[Tam Conta]]=17,VLOOKUP(Tabela1[[#This Row],[Conta]],Tabela!$A:$C,3,FALSE),"")</f>
        <v>RECUPERACAO DE DESP. C/ PESSOAL</v>
      </c>
      <c r="M126" s="11">
        <f>VLOOKUP(Tabela1[[#This Row],[ANO]]&amp;Tabela1[[#This Row],[Meses]],Tabela!$O:$P,2,FALSE)</f>
        <v>44197</v>
      </c>
      <c r="N126" t="str">
        <f t="shared" si="4"/>
        <v>3.01.01.05.05</v>
      </c>
      <c r="O126" s="5">
        <f>IF(Tabela1[[#This Row],[Contas]]="","",IF(Tabela1[[#This Row],[Contas]]="1.01.01.03.01",Tabela1[[#This Row],[Valor Débito]],Tabela1[[#This Row],[Movimento]]))</f>
        <v>0</v>
      </c>
      <c r="P126" s="2" t="str">
        <f>IF(Tabela1[[#This Row],[Contas]]="","",IF(Tabela1[[#This Row],[Tam Conta]]=13,Tabela1[[#This Row],[Descrição Original]],P125))</f>
        <v>RECEITAS DIVERSAS</v>
      </c>
    </row>
    <row r="127" spans="1:16" x14ac:dyDescent="0.35">
      <c r="A127">
        <v>2021</v>
      </c>
      <c r="B127" t="s">
        <v>44</v>
      </c>
      <c r="C127" s="57" t="s">
        <v>475</v>
      </c>
      <c r="D127" s="49" t="s">
        <v>476</v>
      </c>
      <c r="E127" s="50">
        <v>29280.400000000001</v>
      </c>
      <c r="F127" s="50">
        <v>0</v>
      </c>
      <c r="G127" s="50">
        <v>18613.12</v>
      </c>
      <c r="H127" s="50">
        <f t="shared" si="5"/>
        <v>-18613.12</v>
      </c>
      <c r="I127" s="50">
        <v>47893.52</v>
      </c>
      <c r="J127" s="49" t="s">
        <v>3257</v>
      </c>
      <c r="K127">
        <f t="shared" si="3"/>
        <v>10</v>
      </c>
      <c r="L127" t="str">
        <f>IF(Tabela1[[#This Row],[Tam Conta]]=17,VLOOKUP(Tabela1[[#This Row],[Conta]],Tabela!$A:$C,3,FALSE),"")</f>
        <v/>
      </c>
      <c r="M127" s="11">
        <f>VLOOKUP(Tabela1[[#This Row],[ANO]]&amp;Tabela1[[#This Row],[Meses]],Tabela!$O:$P,2,FALSE)</f>
        <v>44197</v>
      </c>
      <c r="N127" t="str">
        <f t="shared" si="4"/>
        <v/>
      </c>
      <c r="O127" s="5" t="str">
        <f>IF(Tabela1[[#This Row],[Contas]]="","",IF(Tabela1[[#This Row],[Contas]]="1.01.01.03.01",Tabela1[[#This Row],[Valor Débito]],Tabela1[[#This Row],[Movimento]]))</f>
        <v/>
      </c>
      <c r="P127" s="2" t="str">
        <f>IF(Tabela1[[#This Row],[Contas]]="","",IF(Tabela1[[#This Row],[Tam Conta]]=13,Tabela1[[#This Row],[Descrição Original]],P126))</f>
        <v/>
      </c>
    </row>
    <row r="128" spans="1:16" x14ac:dyDescent="0.35">
      <c r="A128">
        <v>2021</v>
      </c>
      <c r="B128" t="s">
        <v>44</v>
      </c>
      <c r="C128" s="57" t="s">
        <v>477</v>
      </c>
      <c r="D128" s="49" t="s">
        <v>476</v>
      </c>
      <c r="E128" s="50">
        <v>29280.400000000001</v>
      </c>
      <c r="F128" s="50">
        <v>0</v>
      </c>
      <c r="G128" s="50">
        <v>18613.12</v>
      </c>
      <c r="H128" s="50">
        <f t="shared" si="5"/>
        <v>-18613.12</v>
      </c>
      <c r="I128" s="50">
        <v>47893.52</v>
      </c>
      <c r="J128" s="49" t="s">
        <v>3257</v>
      </c>
      <c r="K128">
        <f t="shared" si="3"/>
        <v>13</v>
      </c>
      <c r="L128" t="str">
        <f>IF(Tabela1[[#This Row],[Tam Conta]]=17,VLOOKUP(Tabela1[[#This Row],[Conta]],Tabela!$A:$C,3,FALSE),"")</f>
        <v/>
      </c>
      <c r="M128" s="11">
        <f>VLOOKUP(Tabela1[[#This Row],[ANO]]&amp;Tabela1[[#This Row],[Meses]],Tabela!$O:$P,2,FALSE)</f>
        <v>44197</v>
      </c>
      <c r="N128" t="str">
        <f t="shared" si="4"/>
        <v>3.01.01.06.01</v>
      </c>
      <c r="O128" s="5">
        <f>IF(Tabela1[[#This Row],[Contas]]="","",IF(Tabela1[[#This Row],[Contas]]="1.01.01.03.01",Tabela1[[#This Row],[Valor Débito]],Tabela1[[#This Row],[Movimento]]))</f>
        <v>-18613.12</v>
      </c>
      <c r="P128" s="2" t="str">
        <f>IF(Tabela1[[#This Row],[Contas]]="","",IF(Tabela1[[#This Row],[Tam Conta]]=13,Tabela1[[#This Row],[Descrição Original]],P127))</f>
        <v>RECEITAS FINANCEIRAS</v>
      </c>
    </row>
    <row r="129" spans="1:16" x14ac:dyDescent="0.35">
      <c r="A129">
        <v>2021</v>
      </c>
      <c r="B129" t="s">
        <v>44</v>
      </c>
      <c r="C129" s="57" t="s">
        <v>480</v>
      </c>
      <c r="D129" s="49" t="s">
        <v>481</v>
      </c>
      <c r="E129" s="50">
        <v>29280.400000000001</v>
      </c>
      <c r="F129" s="50">
        <v>0</v>
      </c>
      <c r="G129" s="50">
        <v>18613.12</v>
      </c>
      <c r="H129" s="50">
        <f t="shared" si="5"/>
        <v>-18613.12</v>
      </c>
      <c r="I129" s="50">
        <v>47893.52</v>
      </c>
      <c r="J129" s="49" t="s">
        <v>3257</v>
      </c>
      <c r="K129">
        <f t="shared" si="3"/>
        <v>17</v>
      </c>
      <c r="L129" t="str">
        <f>IF(Tabela1[[#This Row],[Tam Conta]]=17,VLOOKUP(Tabela1[[#This Row],[Conta]],Tabela!$A:$C,3,FALSE),"")</f>
        <v>RENDIM. APLICACOES FINANCEIRAS</v>
      </c>
      <c r="M129" s="11">
        <f>VLOOKUP(Tabela1[[#This Row],[ANO]]&amp;Tabela1[[#This Row],[Meses]],Tabela!$O:$P,2,FALSE)</f>
        <v>44197</v>
      </c>
      <c r="N129" t="str">
        <f t="shared" si="4"/>
        <v>3.01.01.06.01</v>
      </c>
      <c r="O129" s="5">
        <f>IF(Tabela1[[#This Row],[Contas]]="","",IF(Tabela1[[#This Row],[Contas]]="1.01.01.03.01",Tabela1[[#This Row],[Valor Débito]],Tabela1[[#This Row],[Movimento]]))</f>
        <v>-18613.12</v>
      </c>
      <c r="P129" s="2" t="str">
        <f>IF(Tabela1[[#This Row],[Contas]]="","",IF(Tabela1[[#This Row],[Tam Conta]]=13,Tabela1[[#This Row],[Descrição Original]],P128))</f>
        <v>RECEITAS FINANCEIRAS</v>
      </c>
    </row>
    <row r="130" spans="1:16" x14ac:dyDescent="0.35">
      <c r="A130">
        <v>2021</v>
      </c>
      <c r="B130" t="s">
        <v>44</v>
      </c>
      <c r="C130" s="56">
        <v>4</v>
      </c>
      <c r="D130" s="49" t="s">
        <v>56</v>
      </c>
      <c r="E130" s="50">
        <v>1914384.36</v>
      </c>
      <c r="F130" s="50">
        <v>393133.27</v>
      </c>
      <c r="G130" s="50">
        <v>0</v>
      </c>
      <c r="H130" s="50">
        <f t="shared" si="5"/>
        <v>393133.27</v>
      </c>
      <c r="I130" s="50">
        <v>2307517.63</v>
      </c>
      <c r="J130" s="49" t="s">
        <v>57</v>
      </c>
      <c r="K130">
        <f t="shared" si="3"/>
        <v>1</v>
      </c>
      <c r="L130" t="str">
        <f>IF(Tabela1[[#This Row],[Tam Conta]]=17,VLOOKUP(Tabela1[[#This Row],[Conta]],Tabela!$A:$C,3,FALSE),"")</f>
        <v/>
      </c>
      <c r="M130" s="11">
        <f>VLOOKUP(Tabela1[[#This Row],[ANO]]&amp;Tabela1[[#This Row],[Meses]],Tabela!$O:$P,2,FALSE)</f>
        <v>44197</v>
      </c>
      <c r="N130" t="str">
        <f t="shared" si="4"/>
        <v/>
      </c>
      <c r="O130" s="5" t="str">
        <f>IF(Tabela1[[#This Row],[Contas]]="","",IF(Tabela1[[#This Row],[Contas]]="1.01.01.03.01",Tabela1[[#This Row],[Valor Débito]],Tabela1[[#This Row],[Movimento]]))</f>
        <v/>
      </c>
      <c r="P130" s="2" t="str">
        <f>IF(Tabela1[[#This Row],[Contas]]="","",IF(Tabela1[[#This Row],[Tam Conta]]=13,Tabela1[[#This Row],[Descrição Original]],P129))</f>
        <v/>
      </c>
    </row>
    <row r="131" spans="1:16" x14ac:dyDescent="0.35">
      <c r="A131">
        <v>2021</v>
      </c>
      <c r="B131" t="s">
        <v>44</v>
      </c>
      <c r="C131" s="57" t="s">
        <v>58</v>
      </c>
      <c r="D131" s="49" t="s">
        <v>59</v>
      </c>
      <c r="E131" s="50">
        <v>1914384.36</v>
      </c>
      <c r="F131" s="50">
        <v>393133.27</v>
      </c>
      <c r="G131" s="50">
        <v>0</v>
      </c>
      <c r="H131" s="50">
        <f t="shared" si="5"/>
        <v>393133.27</v>
      </c>
      <c r="I131" s="50">
        <v>2307517.63</v>
      </c>
      <c r="J131" s="49" t="s">
        <v>57</v>
      </c>
      <c r="K131">
        <f t="shared" si="3"/>
        <v>4</v>
      </c>
      <c r="L131" t="str">
        <f>IF(Tabela1[[#This Row],[Tam Conta]]=17,VLOOKUP(Tabela1[[#This Row],[Conta]],Tabela!$A:$C,3,FALSE),"")</f>
        <v/>
      </c>
      <c r="M131" s="11">
        <f>VLOOKUP(Tabela1[[#This Row],[ANO]]&amp;Tabela1[[#This Row],[Meses]],Tabela!$O:$P,2,FALSE)</f>
        <v>44197</v>
      </c>
      <c r="N131" t="str">
        <f t="shared" si="4"/>
        <v/>
      </c>
      <c r="O131" s="5" t="str">
        <f>IF(Tabela1[[#This Row],[Contas]]="","",IF(Tabela1[[#This Row],[Contas]]="1.01.01.03.01",Tabela1[[#This Row],[Valor Débito]],Tabela1[[#This Row],[Movimento]]))</f>
        <v/>
      </c>
      <c r="P131" s="2" t="str">
        <f>IF(Tabela1[[#This Row],[Contas]]="","",IF(Tabela1[[#This Row],[Tam Conta]]=13,Tabela1[[#This Row],[Descrição Original]],P130))</f>
        <v/>
      </c>
    </row>
    <row r="132" spans="1:16" x14ac:dyDescent="0.35">
      <c r="A132">
        <v>2021</v>
      </c>
      <c r="B132" t="s">
        <v>44</v>
      </c>
      <c r="C132" s="57" t="s">
        <v>60</v>
      </c>
      <c r="D132" s="49" t="s">
        <v>61</v>
      </c>
      <c r="E132" s="50">
        <v>1914384.36</v>
      </c>
      <c r="F132" s="50">
        <v>393133.27</v>
      </c>
      <c r="G132" s="50">
        <v>0</v>
      </c>
      <c r="H132" s="50">
        <f t="shared" si="5"/>
        <v>393133.27</v>
      </c>
      <c r="I132" s="50">
        <v>2307517.63</v>
      </c>
      <c r="J132" s="49" t="s">
        <v>57</v>
      </c>
      <c r="K132">
        <f t="shared" si="3"/>
        <v>7</v>
      </c>
      <c r="L132" t="str">
        <f>IF(Tabela1[[#This Row],[Tam Conta]]=17,VLOOKUP(Tabela1[[#This Row],[Conta]],Tabela!$A:$C,3,FALSE),"")</f>
        <v/>
      </c>
      <c r="M132" s="11">
        <f>VLOOKUP(Tabela1[[#This Row],[ANO]]&amp;Tabela1[[#This Row],[Meses]],Tabela!$O:$P,2,FALSE)</f>
        <v>44197</v>
      </c>
      <c r="N132" t="str">
        <f t="shared" si="4"/>
        <v/>
      </c>
      <c r="O132" s="5" t="str">
        <f>IF(Tabela1[[#This Row],[Contas]]="","",IF(Tabela1[[#This Row],[Contas]]="1.01.01.03.01",Tabela1[[#This Row],[Valor Débito]],Tabela1[[#This Row],[Movimento]]))</f>
        <v/>
      </c>
      <c r="P132" s="2" t="str">
        <f>IF(Tabela1[[#This Row],[Contas]]="","",IF(Tabela1[[#This Row],[Tam Conta]]=13,Tabela1[[#This Row],[Descrição Original]],P131))</f>
        <v/>
      </c>
    </row>
    <row r="133" spans="1:16" x14ac:dyDescent="0.35">
      <c r="A133">
        <v>2021</v>
      </c>
      <c r="B133" t="s">
        <v>44</v>
      </c>
      <c r="C133" s="57" t="s">
        <v>62</v>
      </c>
      <c r="D133" s="49" t="s">
        <v>63</v>
      </c>
      <c r="E133" s="50">
        <v>1914384.36</v>
      </c>
      <c r="F133" s="50">
        <v>393133.27</v>
      </c>
      <c r="G133" s="50">
        <v>0</v>
      </c>
      <c r="H133" s="50">
        <f t="shared" si="5"/>
        <v>393133.27</v>
      </c>
      <c r="I133" s="50">
        <v>2307517.63</v>
      </c>
      <c r="J133" s="49" t="s">
        <v>57</v>
      </c>
      <c r="K133">
        <f t="shared" si="3"/>
        <v>10</v>
      </c>
      <c r="L133" t="str">
        <f>IF(Tabela1[[#This Row],[Tam Conta]]=17,VLOOKUP(Tabela1[[#This Row],[Conta]],Tabela!$A:$C,3,FALSE),"")</f>
        <v/>
      </c>
      <c r="M133" s="11">
        <f>VLOOKUP(Tabela1[[#This Row],[ANO]]&amp;Tabela1[[#This Row],[Meses]],Tabela!$O:$P,2,FALSE)</f>
        <v>44197</v>
      </c>
      <c r="N133" t="str">
        <f t="shared" si="4"/>
        <v/>
      </c>
      <c r="O133" s="5" t="str">
        <f>IF(Tabela1[[#This Row],[Contas]]="","",IF(Tabela1[[#This Row],[Contas]]="1.01.01.03.01",Tabela1[[#This Row],[Valor Débito]],Tabela1[[#This Row],[Movimento]]))</f>
        <v/>
      </c>
      <c r="P133" s="2" t="str">
        <f>IF(Tabela1[[#This Row],[Contas]]="","",IF(Tabela1[[#This Row],[Tam Conta]]=13,Tabela1[[#This Row],[Descrição Original]],P132))</f>
        <v/>
      </c>
    </row>
    <row r="134" spans="1:16" x14ac:dyDescent="0.35">
      <c r="A134">
        <v>2021</v>
      </c>
      <c r="B134" t="s">
        <v>44</v>
      </c>
      <c r="C134" s="57" t="s">
        <v>64</v>
      </c>
      <c r="D134" s="49" t="s">
        <v>65</v>
      </c>
      <c r="E134" s="50">
        <v>1833343.02</v>
      </c>
      <c r="F134" s="50">
        <v>317131.38</v>
      </c>
      <c r="G134" s="50">
        <v>0</v>
      </c>
      <c r="H134" s="50">
        <f t="shared" si="5"/>
        <v>317131.38</v>
      </c>
      <c r="I134" s="50">
        <v>2150474.4</v>
      </c>
      <c r="J134" s="49" t="s">
        <v>57</v>
      </c>
      <c r="K134">
        <f t="shared" si="3"/>
        <v>13</v>
      </c>
      <c r="L134" t="str">
        <f>IF(Tabela1[[#This Row],[Tam Conta]]=17,VLOOKUP(Tabela1[[#This Row],[Conta]],Tabela!$A:$C,3,FALSE),"")</f>
        <v/>
      </c>
      <c r="M134" s="11">
        <f>VLOOKUP(Tabela1[[#This Row],[ANO]]&amp;Tabela1[[#This Row],[Meses]],Tabela!$O:$P,2,FALSE)</f>
        <v>44197</v>
      </c>
      <c r="N134" t="str">
        <f t="shared" si="4"/>
        <v>4.01.01.01.01</v>
      </c>
      <c r="O134" s="5">
        <f>IF(Tabela1[[#This Row],[Contas]]="","",IF(Tabela1[[#This Row],[Contas]]="1.01.01.03.01",Tabela1[[#This Row],[Valor Débito]],Tabela1[[#This Row],[Movimento]]))</f>
        <v>317131.38</v>
      </c>
      <c r="P134" s="2" t="str">
        <f>IF(Tabela1[[#This Row],[Contas]]="","",IF(Tabela1[[#This Row],[Tam Conta]]=13,Tabela1[[#This Row],[Descrição Original]],P133))</f>
        <v>PESSOAL SERV. PROPRIOS</v>
      </c>
    </row>
    <row r="135" spans="1:16" x14ac:dyDescent="0.35">
      <c r="A135">
        <v>2021</v>
      </c>
      <c r="B135" t="s">
        <v>44</v>
      </c>
      <c r="C135" s="57" t="s">
        <v>66</v>
      </c>
      <c r="D135" s="49" t="s">
        <v>15</v>
      </c>
      <c r="E135" s="50">
        <v>1087683.46</v>
      </c>
      <c r="F135" s="50">
        <v>216359.83</v>
      </c>
      <c r="G135" s="50">
        <v>0</v>
      </c>
      <c r="H135" s="50">
        <f t="shared" si="5"/>
        <v>216359.83</v>
      </c>
      <c r="I135" s="50">
        <v>1304043.29</v>
      </c>
      <c r="J135" s="49" t="s">
        <v>57</v>
      </c>
      <c r="K135">
        <f t="shared" si="3"/>
        <v>17</v>
      </c>
      <c r="L135" t="str">
        <f>IF(Tabela1[[#This Row],[Tam Conta]]=17,VLOOKUP(Tabela1[[#This Row],[Conta]],Tabela!$A:$C,3,FALSE),"")</f>
        <v>ORDENADOS</v>
      </c>
      <c r="M135" s="11">
        <f>VLOOKUP(Tabela1[[#This Row],[ANO]]&amp;Tabela1[[#This Row],[Meses]],Tabela!$O:$P,2,FALSE)</f>
        <v>44197</v>
      </c>
      <c r="N135" t="str">
        <f t="shared" si="4"/>
        <v>4.01.01.01.01</v>
      </c>
      <c r="O135" s="5">
        <f>IF(Tabela1[[#This Row],[Contas]]="","",IF(Tabela1[[#This Row],[Contas]]="1.01.01.03.01",Tabela1[[#This Row],[Valor Débito]],Tabela1[[#This Row],[Movimento]]))</f>
        <v>216359.83</v>
      </c>
      <c r="P135" s="2" t="str">
        <f>IF(Tabela1[[#This Row],[Contas]]="","",IF(Tabela1[[#This Row],[Tam Conta]]=13,Tabela1[[#This Row],[Descrição Original]],P134))</f>
        <v>PESSOAL SERV. PROPRIOS</v>
      </c>
    </row>
    <row r="136" spans="1:16" x14ac:dyDescent="0.35">
      <c r="A136">
        <v>2021</v>
      </c>
      <c r="B136" t="s">
        <v>44</v>
      </c>
      <c r="C136" s="57" t="s">
        <v>67</v>
      </c>
      <c r="D136" s="49" t="s">
        <v>19</v>
      </c>
      <c r="E136" s="50">
        <v>89595.17</v>
      </c>
      <c r="F136" s="50">
        <v>0</v>
      </c>
      <c r="G136" s="50">
        <v>0</v>
      </c>
      <c r="H136" s="50">
        <f t="shared" si="5"/>
        <v>0</v>
      </c>
      <c r="I136" s="50">
        <v>89595.17</v>
      </c>
      <c r="J136" s="49" t="s">
        <v>57</v>
      </c>
      <c r="K136">
        <f t="shared" ref="K136:K162" si="6">LEN(C136)</f>
        <v>17</v>
      </c>
      <c r="L136" t="str">
        <f>IF(Tabela1[[#This Row],[Tam Conta]]=17,VLOOKUP(Tabela1[[#This Row],[Conta]],Tabela!$A:$C,3,FALSE),"")</f>
        <v>13 SALARIO</v>
      </c>
      <c r="M136" s="11">
        <f>VLOOKUP(Tabela1[[#This Row],[ANO]]&amp;Tabela1[[#This Row],[Meses]],Tabela!$O:$P,2,FALSE)</f>
        <v>44197</v>
      </c>
      <c r="N136" t="str">
        <f t="shared" ref="N136:N162" si="7">IF(K136&gt;=13,MID(C136,1,13),"")</f>
        <v>4.01.01.01.01</v>
      </c>
      <c r="O136" s="5">
        <f>IF(Tabela1[[#This Row],[Contas]]="","",IF(Tabela1[[#This Row],[Contas]]="1.01.01.03.01",Tabela1[[#This Row],[Valor Débito]],Tabela1[[#This Row],[Movimento]]))</f>
        <v>0</v>
      </c>
      <c r="P136" s="2" t="str">
        <f>IF(Tabela1[[#This Row],[Contas]]="","",IF(Tabela1[[#This Row],[Tam Conta]]=13,Tabela1[[#This Row],[Descrição Original]],P135))</f>
        <v>PESSOAL SERV. PROPRIOS</v>
      </c>
    </row>
    <row r="137" spans="1:16" x14ac:dyDescent="0.35">
      <c r="A137">
        <v>2021</v>
      </c>
      <c r="B137" t="s">
        <v>44</v>
      </c>
      <c r="C137" s="57" t="s">
        <v>68</v>
      </c>
      <c r="D137" s="49" t="s">
        <v>20</v>
      </c>
      <c r="E137" s="50">
        <v>124043.7</v>
      </c>
      <c r="F137" s="50">
        <v>0</v>
      </c>
      <c r="G137" s="50">
        <v>0</v>
      </c>
      <c r="H137" s="50">
        <f t="shared" ref="H137:H200" si="8">F137-G137</f>
        <v>0</v>
      </c>
      <c r="I137" s="50">
        <v>124043.7</v>
      </c>
      <c r="J137" s="49" t="s">
        <v>57</v>
      </c>
      <c r="K137">
        <f t="shared" si="6"/>
        <v>17</v>
      </c>
      <c r="L137" t="str">
        <f>IF(Tabela1[[#This Row],[Tam Conta]]=17,VLOOKUP(Tabela1[[#This Row],[Conta]],Tabela!$A:$C,3,FALSE),"")</f>
        <v>FERIAS</v>
      </c>
      <c r="M137" s="11">
        <f>VLOOKUP(Tabela1[[#This Row],[ANO]]&amp;Tabela1[[#This Row],[Meses]],Tabela!$O:$P,2,FALSE)</f>
        <v>44197</v>
      </c>
      <c r="N137" t="str">
        <f t="shared" si="7"/>
        <v>4.01.01.01.01</v>
      </c>
      <c r="O137" s="5">
        <f>IF(Tabela1[[#This Row],[Contas]]="","",IF(Tabela1[[#This Row],[Contas]]="1.01.01.03.01",Tabela1[[#This Row],[Valor Débito]],Tabela1[[#This Row],[Movimento]]))</f>
        <v>0</v>
      </c>
      <c r="P137" s="2" t="str">
        <f>IF(Tabela1[[#This Row],[Contas]]="","",IF(Tabela1[[#This Row],[Tam Conta]]=13,Tabela1[[#This Row],[Descrição Original]],P136))</f>
        <v>PESSOAL SERV. PROPRIOS</v>
      </c>
    </row>
    <row r="138" spans="1:16" x14ac:dyDescent="0.35">
      <c r="A138">
        <v>2021</v>
      </c>
      <c r="B138" t="s">
        <v>44</v>
      </c>
      <c r="C138" s="57" t="s">
        <v>69</v>
      </c>
      <c r="D138" s="49" t="s">
        <v>23</v>
      </c>
      <c r="E138" s="50">
        <v>837.4</v>
      </c>
      <c r="F138" s="50">
        <v>0</v>
      </c>
      <c r="G138" s="50">
        <v>0</v>
      </c>
      <c r="H138" s="50">
        <f t="shared" si="8"/>
        <v>0</v>
      </c>
      <c r="I138" s="50">
        <v>837.4</v>
      </c>
      <c r="J138" s="49" t="s">
        <v>57</v>
      </c>
      <c r="K138">
        <f t="shared" si="6"/>
        <v>17</v>
      </c>
      <c r="L138" t="str">
        <f>IF(Tabela1[[#This Row],[Tam Conta]]=17,VLOOKUP(Tabela1[[#This Row],[Conta]],Tabela!$A:$C,3,FALSE),"")</f>
        <v>INDENIZACAO E AVISOS PREVIOS</v>
      </c>
      <c r="M138" s="11">
        <f>VLOOKUP(Tabela1[[#This Row],[ANO]]&amp;Tabela1[[#This Row],[Meses]],Tabela!$O:$P,2,FALSE)</f>
        <v>44197</v>
      </c>
      <c r="N138" t="str">
        <f t="shared" si="7"/>
        <v>4.01.01.01.01</v>
      </c>
      <c r="O138" s="5">
        <f>IF(Tabela1[[#This Row],[Contas]]="","",IF(Tabela1[[#This Row],[Contas]]="1.01.01.03.01",Tabela1[[#This Row],[Valor Débito]],Tabela1[[#This Row],[Movimento]]))</f>
        <v>0</v>
      </c>
      <c r="P138" s="2" t="str">
        <f>IF(Tabela1[[#This Row],[Contas]]="","",IF(Tabela1[[#This Row],[Tam Conta]]=13,Tabela1[[#This Row],[Descrição Original]],P137))</f>
        <v>PESSOAL SERV. PROPRIOS</v>
      </c>
    </row>
    <row r="139" spans="1:16" x14ac:dyDescent="0.35">
      <c r="A139">
        <v>2021</v>
      </c>
      <c r="B139" t="s">
        <v>44</v>
      </c>
      <c r="C139" s="57" t="s">
        <v>70</v>
      </c>
      <c r="D139" s="49" t="s">
        <v>11</v>
      </c>
      <c r="E139" s="50">
        <v>105046.15</v>
      </c>
      <c r="F139" s="50">
        <v>17308.59</v>
      </c>
      <c r="G139" s="50">
        <v>0</v>
      </c>
      <c r="H139" s="50">
        <f t="shared" si="8"/>
        <v>17308.59</v>
      </c>
      <c r="I139" s="50">
        <v>122354.74</v>
      </c>
      <c r="J139" s="49" t="s">
        <v>57</v>
      </c>
      <c r="K139">
        <f t="shared" si="6"/>
        <v>17</v>
      </c>
      <c r="L139" t="str">
        <f>IF(Tabela1[[#This Row],[Tam Conta]]=17,VLOOKUP(Tabela1[[#This Row],[Conta]],Tabela!$A:$C,3,FALSE),"")</f>
        <v>CONTRIBUICOES AO FGTS</v>
      </c>
      <c r="M139" s="11">
        <f>VLOOKUP(Tabela1[[#This Row],[ANO]]&amp;Tabela1[[#This Row],[Meses]],Tabela!$O:$P,2,FALSE)</f>
        <v>44197</v>
      </c>
      <c r="N139" t="str">
        <f t="shared" si="7"/>
        <v>4.01.01.01.01</v>
      </c>
      <c r="O139" s="5">
        <f>IF(Tabela1[[#This Row],[Contas]]="","",IF(Tabela1[[#This Row],[Contas]]="1.01.01.03.01",Tabela1[[#This Row],[Valor Débito]],Tabela1[[#This Row],[Movimento]]))</f>
        <v>17308.59</v>
      </c>
      <c r="P139" s="2" t="str">
        <f>IF(Tabela1[[#This Row],[Contas]]="","",IF(Tabela1[[#This Row],[Tam Conta]]=13,Tabela1[[#This Row],[Descrição Original]],P138))</f>
        <v>PESSOAL SERV. PROPRIOS</v>
      </c>
    </row>
    <row r="140" spans="1:16" x14ac:dyDescent="0.35">
      <c r="A140">
        <v>2021</v>
      </c>
      <c r="B140" t="s">
        <v>44</v>
      </c>
      <c r="C140" s="57" t="s">
        <v>71</v>
      </c>
      <c r="D140" s="49" t="s">
        <v>12</v>
      </c>
      <c r="E140" s="50">
        <v>13009.69</v>
      </c>
      <c r="F140" s="50">
        <v>2163.5700000000002</v>
      </c>
      <c r="G140" s="50">
        <v>0</v>
      </c>
      <c r="H140" s="50">
        <f t="shared" si="8"/>
        <v>2163.5700000000002</v>
      </c>
      <c r="I140" s="50">
        <v>15173.26</v>
      </c>
      <c r="J140" s="49" t="s">
        <v>57</v>
      </c>
      <c r="K140">
        <f t="shared" si="6"/>
        <v>17</v>
      </c>
      <c r="L140" t="str">
        <f>IF(Tabela1[[#This Row],[Tam Conta]]=17,VLOOKUP(Tabela1[[#This Row],[Conta]],Tabela!$A:$C,3,FALSE),"")</f>
        <v>CONTRIBUICOES AO PIS</v>
      </c>
      <c r="M140" s="11">
        <f>VLOOKUP(Tabela1[[#This Row],[ANO]]&amp;Tabela1[[#This Row],[Meses]],Tabela!$O:$P,2,FALSE)</f>
        <v>44197</v>
      </c>
      <c r="N140" t="str">
        <f t="shared" si="7"/>
        <v>4.01.01.01.01</v>
      </c>
      <c r="O140" s="5">
        <f>IF(Tabela1[[#This Row],[Contas]]="","",IF(Tabela1[[#This Row],[Contas]]="1.01.01.03.01",Tabela1[[#This Row],[Valor Débito]],Tabela1[[#This Row],[Movimento]]))</f>
        <v>2163.5700000000002</v>
      </c>
      <c r="P140" s="2" t="str">
        <f>IF(Tabela1[[#This Row],[Contas]]="","",IF(Tabela1[[#This Row],[Tam Conta]]=13,Tabela1[[#This Row],[Descrição Original]],P139))</f>
        <v>PESSOAL SERV. PROPRIOS</v>
      </c>
    </row>
    <row r="141" spans="1:16" x14ac:dyDescent="0.35">
      <c r="A141">
        <v>2021</v>
      </c>
      <c r="B141" t="s">
        <v>44</v>
      </c>
      <c r="C141" s="57" t="s">
        <v>72</v>
      </c>
      <c r="D141" s="49" t="s">
        <v>18</v>
      </c>
      <c r="E141" s="50">
        <v>1170</v>
      </c>
      <c r="F141" s="50">
        <v>408</v>
      </c>
      <c r="G141" s="50">
        <v>0</v>
      </c>
      <c r="H141" s="50">
        <f t="shared" si="8"/>
        <v>408</v>
      </c>
      <c r="I141" s="50">
        <v>1578</v>
      </c>
      <c r="J141" s="49" t="s">
        <v>57</v>
      </c>
      <c r="K141">
        <f t="shared" si="6"/>
        <v>17</v>
      </c>
      <c r="L141" t="str">
        <f>IF(Tabela1[[#This Row],[Tam Conta]]=17,VLOOKUP(Tabela1[[#This Row],[Conta]],Tabela!$A:$C,3,FALSE),"")</f>
        <v>VALE TRANSPORTE</v>
      </c>
      <c r="M141" s="11">
        <f>VLOOKUP(Tabela1[[#This Row],[ANO]]&amp;Tabela1[[#This Row],[Meses]],Tabela!$O:$P,2,FALSE)</f>
        <v>44197</v>
      </c>
      <c r="N141" t="str">
        <f t="shared" si="7"/>
        <v>4.01.01.01.01</v>
      </c>
      <c r="O141" s="5">
        <f>IF(Tabela1[[#This Row],[Contas]]="","",IF(Tabela1[[#This Row],[Contas]]="1.01.01.03.01",Tabela1[[#This Row],[Valor Débito]],Tabela1[[#This Row],[Movimento]]))</f>
        <v>408</v>
      </c>
      <c r="P141" s="2" t="str">
        <f>IF(Tabela1[[#This Row],[Contas]]="","",IF(Tabela1[[#This Row],[Tam Conta]]=13,Tabela1[[#This Row],[Descrição Original]],P140))</f>
        <v>PESSOAL SERV. PROPRIOS</v>
      </c>
    </row>
    <row r="142" spans="1:16" x14ac:dyDescent="0.35">
      <c r="A142">
        <v>2021</v>
      </c>
      <c r="B142" t="s">
        <v>44</v>
      </c>
      <c r="C142" s="57" t="s">
        <v>73</v>
      </c>
      <c r="D142" s="49" t="s">
        <v>10</v>
      </c>
      <c r="E142" s="50">
        <v>260197.18</v>
      </c>
      <c r="F142" s="50">
        <v>43271.98</v>
      </c>
      <c r="G142" s="50">
        <v>0</v>
      </c>
      <c r="H142" s="50">
        <f t="shared" si="8"/>
        <v>43271.98</v>
      </c>
      <c r="I142" s="50">
        <v>303469.15999999997</v>
      </c>
      <c r="J142" s="49" t="s">
        <v>57</v>
      </c>
      <c r="K142">
        <f t="shared" si="6"/>
        <v>17</v>
      </c>
      <c r="L142" t="str">
        <f>IF(Tabela1[[#This Row],[Tam Conta]]=17,VLOOKUP(Tabela1[[#This Row],[Conta]],Tabela!$A:$C,3,FALSE),"")</f>
        <v>CONTRIBUICAO PATRONAL - INSS</v>
      </c>
      <c r="M142" s="11">
        <f>VLOOKUP(Tabela1[[#This Row],[ANO]]&amp;Tabela1[[#This Row],[Meses]],Tabela!$O:$P,2,FALSE)</f>
        <v>44197</v>
      </c>
      <c r="N142" t="str">
        <f t="shared" si="7"/>
        <v>4.01.01.01.01</v>
      </c>
      <c r="O142" s="5">
        <f>IF(Tabela1[[#This Row],[Contas]]="","",IF(Tabela1[[#This Row],[Contas]]="1.01.01.03.01",Tabela1[[#This Row],[Valor Débito]],Tabela1[[#This Row],[Movimento]]))</f>
        <v>43271.98</v>
      </c>
      <c r="P142" s="2" t="str">
        <f>IF(Tabela1[[#This Row],[Contas]]="","",IF(Tabela1[[#This Row],[Tam Conta]]=13,Tabela1[[#This Row],[Descrição Original]],P141))</f>
        <v>PESSOAL SERV. PROPRIOS</v>
      </c>
    </row>
    <row r="143" spans="1:16" x14ac:dyDescent="0.35">
      <c r="A143">
        <v>2021</v>
      </c>
      <c r="B143" t="s">
        <v>44</v>
      </c>
      <c r="C143" s="57" t="s">
        <v>74</v>
      </c>
      <c r="D143" s="49" t="s">
        <v>14</v>
      </c>
      <c r="E143" s="50">
        <v>41889.18</v>
      </c>
      <c r="F143" s="50">
        <v>11723.41</v>
      </c>
      <c r="G143" s="50">
        <v>0</v>
      </c>
      <c r="H143" s="50">
        <f t="shared" si="8"/>
        <v>11723.41</v>
      </c>
      <c r="I143" s="50">
        <v>53612.59</v>
      </c>
      <c r="J143" s="49" t="s">
        <v>57</v>
      </c>
      <c r="K143">
        <f t="shared" si="6"/>
        <v>17</v>
      </c>
      <c r="L143" t="str">
        <f>IF(Tabela1[[#This Row],[Tam Conta]]=17,VLOOKUP(Tabela1[[#This Row],[Conta]],Tabela!$A:$C,3,FALSE),"")</f>
        <v>GRATIFICACOES</v>
      </c>
      <c r="M143" s="11">
        <f>VLOOKUP(Tabela1[[#This Row],[ANO]]&amp;Tabela1[[#This Row],[Meses]],Tabela!$O:$P,2,FALSE)</f>
        <v>44197</v>
      </c>
      <c r="N143" t="str">
        <f t="shared" si="7"/>
        <v>4.01.01.01.01</v>
      </c>
      <c r="O143" s="5">
        <f>IF(Tabela1[[#This Row],[Contas]]="","",IF(Tabela1[[#This Row],[Contas]]="1.01.01.03.01",Tabela1[[#This Row],[Valor Débito]],Tabela1[[#This Row],[Movimento]]))</f>
        <v>11723.41</v>
      </c>
      <c r="P143" s="2" t="str">
        <f>IF(Tabela1[[#This Row],[Contas]]="","",IF(Tabela1[[#This Row],[Tam Conta]]=13,Tabela1[[#This Row],[Descrição Original]],P142))</f>
        <v>PESSOAL SERV. PROPRIOS</v>
      </c>
    </row>
    <row r="144" spans="1:16" x14ac:dyDescent="0.35">
      <c r="A144">
        <v>2021</v>
      </c>
      <c r="B144" t="s">
        <v>44</v>
      </c>
      <c r="C144" s="57" t="s">
        <v>75</v>
      </c>
      <c r="D144" s="49" t="s">
        <v>16</v>
      </c>
      <c r="E144" s="50">
        <v>26019.599999999999</v>
      </c>
      <c r="F144" s="50">
        <v>4327.18</v>
      </c>
      <c r="G144" s="50">
        <v>0</v>
      </c>
      <c r="H144" s="50">
        <f t="shared" si="8"/>
        <v>4327.18</v>
      </c>
      <c r="I144" s="50">
        <v>30346.78</v>
      </c>
      <c r="J144" s="49" t="s">
        <v>57</v>
      </c>
      <c r="K144">
        <f t="shared" si="6"/>
        <v>17</v>
      </c>
      <c r="L144" t="str">
        <f>IF(Tabela1[[#This Row],[Tam Conta]]=17,VLOOKUP(Tabela1[[#This Row],[Conta]],Tabela!$A:$C,3,FALSE),"")</f>
        <v>SEGURO ACIDENTE DE TRABALHO</v>
      </c>
      <c r="M144" s="11">
        <f>VLOOKUP(Tabela1[[#This Row],[ANO]]&amp;Tabela1[[#This Row],[Meses]],Tabela!$O:$P,2,FALSE)</f>
        <v>44197</v>
      </c>
      <c r="N144" t="str">
        <f t="shared" si="7"/>
        <v>4.01.01.01.01</v>
      </c>
      <c r="O144" s="5">
        <f>IF(Tabela1[[#This Row],[Contas]]="","",IF(Tabela1[[#This Row],[Contas]]="1.01.01.03.01",Tabela1[[#This Row],[Valor Débito]],Tabela1[[#This Row],[Movimento]]))</f>
        <v>4327.18</v>
      </c>
      <c r="P144" s="2" t="str">
        <f>IF(Tabela1[[#This Row],[Contas]]="","",IF(Tabela1[[#This Row],[Tam Conta]]=13,Tabela1[[#This Row],[Descrição Original]],P143))</f>
        <v>PESSOAL SERV. PROPRIOS</v>
      </c>
    </row>
    <row r="145" spans="1:16" x14ac:dyDescent="0.35">
      <c r="A145">
        <v>2021</v>
      </c>
      <c r="B145" t="s">
        <v>44</v>
      </c>
      <c r="C145" s="57" t="s">
        <v>76</v>
      </c>
      <c r="D145" s="49" t="s">
        <v>13</v>
      </c>
      <c r="E145" s="50">
        <v>75451.490000000005</v>
      </c>
      <c r="F145" s="50">
        <v>12548.82</v>
      </c>
      <c r="G145" s="50">
        <v>0</v>
      </c>
      <c r="H145" s="50">
        <f t="shared" si="8"/>
        <v>12548.82</v>
      </c>
      <c r="I145" s="50">
        <v>88000.31</v>
      </c>
      <c r="J145" s="49" t="s">
        <v>57</v>
      </c>
      <c r="K145">
        <f t="shared" si="6"/>
        <v>17</v>
      </c>
      <c r="L145" t="str">
        <f>IF(Tabela1[[#This Row],[Tam Conta]]=17,VLOOKUP(Tabela1[[#This Row],[Conta]],Tabela!$A:$C,3,FALSE),"")</f>
        <v>COTA TERCEIROS ( SESC, SENAC, INCRA )</v>
      </c>
      <c r="M145" s="11">
        <f>VLOOKUP(Tabela1[[#This Row],[ANO]]&amp;Tabela1[[#This Row],[Meses]],Tabela!$O:$P,2,FALSE)</f>
        <v>44197</v>
      </c>
      <c r="N145" t="str">
        <f t="shared" si="7"/>
        <v>4.01.01.01.01</v>
      </c>
      <c r="O145" s="5">
        <f>IF(Tabela1[[#This Row],[Contas]]="","",IF(Tabela1[[#This Row],[Contas]]="1.01.01.03.01",Tabela1[[#This Row],[Valor Débito]],Tabela1[[#This Row],[Movimento]]))</f>
        <v>12548.82</v>
      </c>
      <c r="P145" s="2" t="str">
        <f>IF(Tabela1[[#This Row],[Contas]]="","",IF(Tabela1[[#This Row],[Tam Conta]]=13,Tabela1[[#This Row],[Descrição Original]],P144))</f>
        <v>PESSOAL SERV. PROPRIOS</v>
      </c>
    </row>
    <row r="146" spans="1:16" x14ac:dyDescent="0.35">
      <c r="A146">
        <v>2021</v>
      </c>
      <c r="B146" t="s">
        <v>44</v>
      </c>
      <c r="C146" s="57" t="s">
        <v>77</v>
      </c>
      <c r="D146" s="49" t="s">
        <v>17</v>
      </c>
      <c r="E146" s="50">
        <v>8400</v>
      </c>
      <c r="F146" s="50">
        <v>9020</v>
      </c>
      <c r="G146" s="50">
        <v>0</v>
      </c>
      <c r="H146" s="50">
        <f t="shared" si="8"/>
        <v>9020</v>
      </c>
      <c r="I146" s="50">
        <v>17420</v>
      </c>
      <c r="J146" s="49" t="s">
        <v>57</v>
      </c>
      <c r="K146">
        <f t="shared" si="6"/>
        <v>17</v>
      </c>
      <c r="L146" t="str">
        <f>IF(Tabela1[[#This Row],[Tam Conta]]=17,VLOOKUP(Tabela1[[#This Row],[Conta]],Tabela!$A:$C,3,FALSE),"")</f>
        <v>VALE REFEICAO</v>
      </c>
      <c r="M146" s="11">
        <f>VLOOKUP(Tabela1[[#This Row],[ANO]]&amp;Tabela1[[#This Row],[Meses]],Tabela!$O:$P,2,FALSE)</f>
        <v>44197</v>
      </c>
      <c r="N146" t="str">
        <f t="shared" si="7"/>
        <v>4.01.01.01.01</v>
      </c>
      <c r="O146" s="5">
        <f>IF(Tabela1[[#This Row],[Contas]]="","",IF(Tabela1[[#This Row],[Contas]]="1.01.01.03.01",Tabela1[[#This Row],[Valor Débito]],Tabela1[[#This Row],[Movimento]]))</f>
        <v>9020</v>
      </c>
      <c r="P146" s="2" t="str">
        <f>IF(Tabela1[[#This Row],[Contas]]="","",IF(Tabela1[[#This Row],[Tam Conta]]=13,Tabela1[[#This Row],[Descrição Original]],P145))</f>
        <v>PESSOAL SERV. PROPRIOS</v>
      </c>
    </row>
    <row r="147" spans="1:16" x14ac:dyDescent="0.35">
      <c r="A147">
        <v>2021</v>
      </c>
      <c r="B147" t="s">
        <v>44</v>
      </c>
      <c r="C147" s="57" t="s">
        <v>92</v>
      </c>
      <c r="D147" s="49" t="s">
        <v>81</v>
      </c>
      <c r="E147" s="50">
        <v>2852.6</v>
      </c>
      <c r="F147" s="50">
        <v>0</v>
      </c>
      <c r="G147" s="50">
        <v>0</v>
      </c>
      <c r="H147" s="50">
        <f t="shared" si="8"/>
        <v>0</v>
      </c>
      <c r="I147" s="50">
        <v>2852.6</v>
      </c>
      <c r="J147" s="49" t="s">
        <v>57</v>
      </c>
      <c r="K147">
        <f t="shared" si="6"/>
        <v>13</v>
      </c>
      <c r="L147" t="str">
        <f>IF(Tabela1[[#This Row],[Tam Conta]]=17,VLOOKUP(Tabela1[[#This Row],[Conta]],Tabela!$A:$C,3,FALSE),"")</f>
        <v/>
      </c>
      <c r="M147" s="11">
        <f>VLOOKUP(Tabela1[[#This Row],[ANO]]&amp;Tabela1[[#This Row],[Meses]],Tabela!$O:$P,2,FALSE)</f>
        <v>44197</v>
      </c>
      <c r="N147" t="str">
        <f t="shared" si="7"/>
        <v>4.01.01.01.02</v>
      </c>
      <c r="O147" s="5">
        <f>IF(Tabela1[[#This Row],[Contas]]="","",IF(Tabela1[[#This Row],[Contas]]="1.01.01.03.01",Tabela1[[#This Row],[Valor Débito]],Tabela1[[#This Row],[Movimento]]))</f>
        <v>0</v>
      </c>
      <c r="P147" s="2" t="str">
        <f>IF(Tabela1[[#This Row],[Contas]]="","",IF(Tabela1[[#This Row],[Tam Conta]]=13,Tabela1[[#This Row],[Descrição Original]],P146))</f>
        <v>PESSOAL SERVICOS TERCEIROS</v>
      </c>
    </row>
    <row r="148" spans="1:16" x14ac:dyDescent="0.35">
      <c r="A148">
        <v>2021</v>
      </c>
      <c r="B148" t="s">
        <v>44</v>
      </c>
      <c r="C148" s="58" t="s">
        <v>93</v>
      </c>
      <c r="D148" s="49" t="s">
        <v>565</v>
      </c>
      <c r="E148" s="50">
        <v>2852.6</v>
      </c>
      <c r="F148" s="50">
        <v>0</v>
      </c>
      <c r="G148" s="50">
        <v>0</v>
      </c>
      <c r="H148" s="50">
        <f t="shared" si="8"/>
        <v>0</v>
      </c>
      <c r="I148" s="50">
        <v>2852.6</v>
      </c>
      <c r="J148" s="49" t="s">
        <v>57</v>
      </c>
      <c r="K148">
        <f t="shared" si="6"/>
        <v>17</v>
      </c>
      <c r="L148" t="str">
        <f>IF(Tabela1[[#This Row],[Tam Conta]]=17,VLOOKUP(Tabela1[[#This Row],[Conta]],Tabela!$A:$C,3,FALSE),"")</f>
        <v>ASSESSORIA EMPRESARIAL E SERVIÇOS ADMINISTRATIVOS</v>
      </c>
      <c r="M148" s="11">
        <f>VLOOKUP(Tabela1[[#This Row],[ANO]]&amp;Tabela1[[#This Row],[Meses]],Tabela!$O:$P,2,FALSE)</f>
        <v>44197</v>
      </c>
      <c r="N148" t="str">
        <f t="shared" si="7"/>
        <v>4.01.01.01.02</v>
      </c>
      <c r="O148" s="5">
        <f>IF(Tabela1[[#This Row],[Contas]]="","",IF(Tabela1[[#This Row],[Contas]]="1.01.01.03.01",Tabela1[[#This Row],[Valor Débito]],Tabela1[[#This Row],[Movimento]]))</f>
        <v>0</v>
      </c>
      <c r="P148" s="2" t="str">
        <f>IF(Tabela1[[#This Row],[Contas]]="","",IF(Tabela1[[#This Row],[Tam Conta]]=13,Tabela1[[#This Row],[Descrição Original]],P147))</f>
        <v>PESSOAL SERVICOS TERCEIROS</v>
      </c>
    </row>
    <row r="149" spans="1:16" x14ac:dyDescent="0.35">
      <c r="A149">
        <v>2021</v>
      </c>
      <c r="B149" t="s">
        <v>44</v>
      </c>
      <c r="C149" s="57" t="s">
        <v>94</v>
      </c>
      <c r="D149" s="49" t="s">
        <v>95</v>
      </c>
      <c r="E149" s="50">
        <v>75612.91</v>
      </c>
      <c r="F149" s="50">
        <v>6976.34</v>
      </c>
      <c r="G149" s="50">
        <v>0</v>
      </c>
      <c r="H149" s="50">
        <f t="shared" si="8"/>
        <v>6976.34</v>
      </c>
      <c r="I149" s="50">
        <v>82589.25</v>
      </c>
      <c r="J149" s="49" t="s">
        <v>57</v>
      </c>
      <c r="K149">
        <f t="shared" si="6"/>
        <v>13</v>
      </c>
      <c r="L149" t="str">
        <f>IF(Tabela1[[#This Row],[Tam Conta]]=17,VLOOKUP(Tabela1[[#This Row],[Conta]],Tabela!$A:$C,3,FALSE),"")</f>
        <v/>
      </c>
      <c r="M149" s="11">
        <f>VLOOKUP(Tabela1[[#This Row],[ANO]]&amp;Tabela1[[#This Row],[Meses]],Tabela!$O:$P,2,FALSE)</f>
        <v>44197</v>
      </c>
      <c r="N149" t="str">
        <f t="shared" si="7"/>
        <v>4.01.01.01.05</v>
      </c>
      <c r="O149" s="5">
        <f>IF(Tabela1[[#This Row],[Contas]]="","",IF(Tabela1[[#This Row],[Contas]]="1.01.01.03.01",Tabela1[[#This Row],[Valor Débito]],Tabela1[[#This Row],[Movimento]]))</f>
        <v>6976.34</v>
      </c>
      <c r="P149" s="2" t="str">
        <f>IF(Tabela1[[#This Row],[Contas]]="","",IF(Tabela1[[#This Row],[Tam Conta]]=13,Tabela1[[#This Row],[Descrição Original]],P148))</f>
        <v>GERAIS</v>
      </c>
    </row>
    <row r="150" spans="1:16" x14ac:dyDescent="0.35">
      <c r="A150">
        <v>2021</v>
      </c>
      <c r="B150" t="s">
        <v>44</v>
      </c>
      <c r="C150" s="57" t="s">
        <v>98</v>
      </c>
      <c r="D150" s="49" t="s">
        <v>39</v>
      </c>
      <c r="E150" s="50">
        <v>236.98</v>
      </c>
      <c r="F150" s="50">
        <v>1019.03</v>
      </c>
      <c r="G150" s="50">
        <v>0</v>
      </c>
      <c r="H150" s="50">
        <f t="shared" si="8"/>
        <v>1019.03</v>
      </c>
      <c r="I150" s="50">
        <v>1256.01</v>
      </c>
      <c r="J150" s="49" t="s">
        <v>57</v>
      </c>
      <c r="K150">
        <f t="shared" si="6"/>
        <v>17</v>
      </c>
      <c r="L150" t="str">
        <f>IF(Tabela1[[#This Row],[Tam Conta]]=17,VLOOKUP(Tabela1[[#This Row],[Conta]],Tabela!$A:$C,3,FALSE),"")</f>
        <v>ANUNCIOS E PUBLICIDADES</v>
      </c>
      <c r="M150" s="11">
        <f>VLOOKUP(Tabela1[[#This Row],[ANO]]&amp;Tabela1[[#This Row],[Meses]],Tabela!$O:$P,2,FALSE)</f>
        <v>44197</v>
      </c>
      <c r="N150" t="str">
        <f t="shared" si="7"/>
        <v>4.01.01.01.05</v>
      </c>
      <c r="O150" s="5">
        <f>IF(Tabela1[[#This Row],[Contas]]="","",IF(Tabela1[[#This Row],[Contas]]="1.01.01.03.01",Tabela1[[#This Row],[Valor Débito]],Tabela1[[#This Row],[Movimento]]))</f>
        <v>1019.03</v>
      </c>
      <c r="P150" s="2" t="str">
        <f>IF(Tabela1[[#This Row],[Contas]]="","",IF(Tabela1[[#This Row],[Tam Conta]]=13,Tabela1[[#This Row],[Descrição Original]],P149))</f>
        <v>GERAIS</v>
      </c>
    </row>
    <row r="151" spans="1:16" x14ac:dyDescent="0.35">
      <c r="A151">
        <v>2021</v>
      </c>
      <c r="B151" t="s">
        <v>44</v>
      </c>
      <c r="C151" s="57" t="s">
        <v>99</v>
      </c>
      <c r="D151" s="49" t="s">
        <v>100</v>
      </c>
      <c r="E151" s="50">
        <v>62513.16</v>
      </c>
      <c r="F151" s="50">
        <v>5957.31</v>
      </c>
      <c r="G151" s="50">
        <v>0</v>
      </c>
      <c r="H151" s="50">
        <f t="shared" si="8"/>
        <v>5957.31</v>
      </c>
      <c r="I151" s="50">
        <v>68470.47</v>
      </c>
      <c r="J151" s="49" t="s">
        <v>57</v>
      </c>
      <c r="K151">
        <f t="shared" si="6"/>
        <v>17</v>
      </c>
      <c r="L151" t="str">
        <f>IF(Tabela1[[#This Row],[Tam Conta]]=17,VLOOKUP(Tabela1[[#This Row],[Conta]],Tabela!$A:$C,3,FALSE),"")</f>
        <v>REMUNERACAO DE SERVIDORES CEDIDOS</v>
      </c>
      <c r="M151" s="11">
        <f>VLOOKUP(Tabela1[[#This Row],[ANO]]&amp;Tabela1[[#This Row],[Meses]],Tabela!$O:$P,2,FALSE)</f>
        <v>44197</v>
      </c>
      <c r="N151" t="str">
        <f t="shared" si="7"/>
        <v>4.01.01.01.05</v>
      </c>
      <c r="O151" s="5">
        <f>IF(Tabela1[[#This Row],[Contas]]="","",IF(Tabela1[[#This Row],[Contas]]="1.01.01.03.01",Tabela1[[#This Row],[Valor Débito]],Tabela1[[#This Row],[Movimento]]))</f>
        <v>5957.31</v>
      </c>
      <c r="P151" s="2" t="str">
        <f>IF(Tabela1[[#This Row],[Contas]]="","",IF(Tabela1[[#This Row],[Tam Conta]]=13,Tabela1[[#This Row],[Descrição Original]],P150))</f>
        <v>GERAIS</v>
      </c>
    </row>
    <row r="152" spans="1:16" x14ac:dyDescent="0.35">
      <c r="A152">
        <v>2021</v>
      </c>
      <c r="B152" t="s">
        <v>44</v>
      </c>
      <c r="C152" s="57" t="s">
        <v>101</v>
      </c>
      <c r="D152" s="49" t="s">
        <v>102</v>
      </c>
      <c r="E152" s="50">
        <v>12862.77</v>
      </c>
      <c r="F152" s="50">
        <v>0</v>
      </c>
      <c r="G152" s="50">
        <v>0</v>
      </c>
      <c r="H152" s="50">
        <f t="shared" si="8"/>
        <v>0</v>
      </c>
      <c r="I152" s="50">
        <v>12862.77</v>
      </c>
      <c r="J152" s="49" t="s">
        <v>57</v>
      </c>
      <c r="K152">
        <f t="shared" si="6"/>
        <v>17</v>
      </c>
      <c r="L152" t="str">
        <f>IF(Tabela1[[#This Row],[Tam Conta]]=17,VLOOKUP(Tabela1[[#This Row],[Conta]],Tabela!$A:$C,3,FALSE),"")</f>
        <v>CONTRIBUICAO PREVIDENCIARIA S/ SERVIDORES CEDIDOS</v>
      </c>
      <c r="M152" s="11">
        <f>VLOOKUP(Tabela1[[#This Row],[ANO]]&amp;Tabela1[[#This Row],[Meses]],Tabela!$O:$P,2,FALSE)</f>
        <v>44197</v>
      </c>
      <c r="N152" t="str">
        <f t="shared" si="7"/>
        <v>4.01.01.01.05</v>
      </c>
      <c r="O152" s="5">
        <f>IF(Tabela1[[#This Row],[Contas]]="","",IF(Tabela1[[#This Row],[Contas]]="1.01.01.03.01",Tabela1[[#This Row],[Valor Débito]],Tabela1[[#This Row],[Movimento]]))</f>
        <v>0</v>
      </c>
      <c r="P152" s="2" t="str">
        <f>IF(Tabela1[[#This Row],[Contas]]="","",IF(Tabela1[[#This Row],[Tam Conta]]=13,Tabela1[[#This Row],[Descrição Original]],P151))</f>
        <v>GERAIS</v>
      </c>
    </row>
    <row r="153" spans="1:16" x14ac:dyDescent="0.35">
      <c r="A153">
        <v>2021</v>
      </c>
      <c r="B153" t="s">
        <v>44</v>
      </c>
      <c r="C153" s="57" t="s">
        <v>104</v>
      </c>
      <c r="D153" s="49" t="s">
        <v>105</v>
      </c>
      <c r="E153" s="50">
        <v>0</v>
      </c>
      <c r="F153" s="50">
        <v>61911.6</v>
      </c>
      <c r="G153" s="50">
        <v>0</v>
      </c>
      <c r="H153" s="50">
        <f t="shared" si="8"/>
        <v>61911.6</v>
      </c>
      <c r="I153" s="50">
        <v>61911.6</v>
      </c>
      <c r="J153" s="49" t="s">
        <v>57</v>
      </c>
      <c r="K153">
        <f t="shared" si="6"/>
        <v>13</v>
      </c>
      <c r="L153" t="str">
        <f>IF(Tabela1[[#This Row],[Tam Conta]]=17,VLOOKUP(Tabela1[[#This Row],[Conta]],Tabela!$A:$C,3,FALSE),"")</f>
        <v/>
      </c>
      <c r="M153" s="11">
        <f>VLOOKUP(Tabela1[[#This Row],[ANO]]&amp;Tabela1[[#This Row],[Meses]],Tabela!$O:$P,2,FALSE)</f>
        <v>44197</v>
      </c>
      <c r="N153" t="str">
        <f t="shared" si="7"/>
        <v>4.01.01.01.06</v>
      </c>
      <c r="O153" s="5">
        <f>IF(Tabela1[[#This Row],[Contas]]="","",IF(Tabela1[[#This Row],[Contas]]="1.01.01.03.01",Tabela1[[#This Row],[Valor Débito]],Tabela1[[#This Row],[Movimento]]))</f>
        <v>61911.6</v>
      </c>
      <c r="P153" s="2" t="str">
        <f>IF(Tabela1[[#This Row],[Contas]]="","",IF(Tabela1[[#This Row],[Tam Conta]]=13,Tabela1[[#This Row],[Descrição Original]],P152))</f>
        <v>PROV. PARA      CUSTOS DO EXERCICIO</v>
      </c>
    </row>
    <row r="154" spans="1:16" x14ac:dyDescent="0.35">
      <c r="A154">
        <v>2021</v>
      </c>
      <c r="B154" t="s">
        <v>44</v>
      </c>
      <c r="C154" s="57" t="s">
        <v>106</v>
      </c>
      <c r="D154" s="49" t="s">
        <v>19</v>
      </c>
      <c r="E154" s="50">
        <v>0</v>
      </c>
      <c r="F154" s="50">
        <v>18954.62</v>
      </c>
      <c r="G154" s="50">
        <v>0</v>
      </c>
      <c r="H154" s="50">
        <f t="shared" si="8"/>
        <v>18954.62</v>
      </c>
      <c r="I154" s="50">
        <v>18954.62</v>
      </c>
      <c r="J154" s="49" t="s">
        <v>57</v>
      </c>
      <c r="K154">
        <f t="shared" si="6"/>
        <v>17</v>
      </c>
      <c r="L154" t="str">
        <f>IF(Tabela1[[#This Row],[Tam Conta]]=17,VLOOKUP(Tabela1[[#This Row],[Conta]],Tabela!$A:$C,3,FALSE),"")</f>
        <v>13 SALARIO</v>
      </c>
      <c r="M154" s="11">
        <f>VLOOKUP(Tabela1[[#This Row],[ANO]]&amp;Tabela1[[#This Row],[Meses]],Tabela!$O:$P,2,FALSE)</f>
        <v>44197</v>
      </c>
      <c r="N154" t="str">
        <f t="shared" si="7"/>
        <v>4.01.01.01.06</v>
      </c>
      <c r="O154" s="5">
        <f>IF(Tabela1[[#This Row],[Contas]]="","",IF(Tabela1[[#This Row],[Contas]]="1.01.01.03.01",Tabela1[[#This Row],[Valor Débito]],Tabela1[[#This Row],[Movimento]]))</f>
        <v>18954.62</v>
      </c>
      <c r="P154" s="2" t="str">
        <f>IF(Tabela1[[#This Row],[Contas]]="","",IF(Tabela1[[#This Row],[Tam Conta]]=13,Tabela1[[#This Row],[Descrição Original]],P153))</f>
        <v>PROV. PARA      CUSTOS DO EXERCICIO</v>
      </c>
    </row>
    <row r="155" spans="1:16" x14ac:dyDescent="0.35">
      <c r="A155">
        <v>2021</v>
      </c>
      <c r="B155" t="s">
        <v>44</v>
      </c>
      <c r="C155" s="57" t="s">
        <v>107</v>
      </c>
      <c r="D155" s="49" t="s">
        <v>20</v>
      </c>
      <c r="E155" s="50">
        <v>0</v>
      </c>
      <c r="F155" s="50">
        <v>26302.28</v>
      </c>
      <c r="G155" s="50">
        <v>0</v>
      </c>
      <c r="H155" s="50">
        <f t="shared" si="8"/>
        <v>26302.28</v>
      </c>
      <c r="I155" s="50">
        <v>26302.28</v>
      </c>
      <c r="J155" s="49" t="s">
        <v>57</v>
      </c>
      <c r="K155">
        <f t="shared" si="6"/>
        <v>17</v>
      </c>
      <c r="L155" t="str">
        <f>IF(Tabela1[[#This Row],[Tam Conta]]=17,VLOOKUP(Tabela1[[#This Row],[Conta]],Tabela!$A:$C,3,FALSE),"")</f>
        <v>FERIAS</v>
      </c>
      <c r="M155" s="11">
        <f>VLOOKUP(Tabela1[[#This Row],[ANO]]&amp;Tabela1[[#This Row],[Meses]],Tabela!$O:$P,2,FALSE)</f>
        <v>44197</v>
      </c>
      <c r="N155" t="str">
        <f t="shared" si="7"/>
        <v>4.01.01.01.06</v>
      </c>
      <c r="O155" s="5">
        <f>IF(Tabela1[[#This Row],[Contas]]="","",IF(Tabela1[[#This Row],[Contas]]="1.01.01.03.01",Tabela1[[#This Row],[Valor Débito]],Tabela1[[#This Row],[Movimento]]))</f>
        <v>26302.28</v>
      </c>
      <c r="P155" s="2" t="str">
        <f>IF(Tabela1[[#This Row],[Contas]]="","",IF(Tabela1[[#This Row],[Tam Conta]]=13,Tabela1[[#This Row],[Descrição Original]],P154))</f>
        <v>PROV. PARA      CUSTOS DO EXERCICIO</v>
      </c>
    </row>
    <row r="156" spans="1:16" x14ac:dyDescent="0.35">
      <c r="A156">
        <v>2021</v>
      </c>
      <c r="B156" t="s">
        <v>44</v>
      </c>
      <c r="C156" s="57" t="s">
        <v>108</v>
      </c>
      <c r="D156" s="49" t="s">
        <v>21</v>
      </c>
      <c r="E156" s="50">
        <v>0</v>
      </c>
      <c r="F156" s="50">
        <v>6975.38</v>
      </c>
      <c r="G156" s="50">
        <v>0</v>
      </c>
      <c r="H156" s="50">
        <f t="shared" si="8"/>
        <v>6975.38</v>
      </c>
      <c r="I156" s="50">
        <v>6975.38</v>
      </c>
      <c r="J156" s="49" t="s">
        <v>57</v>
      </c>
      <c r="K156">
        <f t="shared" si="6"/>
        <v>17</v>
      </c>
      <c r="L156" t="str">
        <f>IF(Tabela1[[#This Row],[Tam Conta]]=17,VLOOKUP(Tabela1[[#This Row],[Conta]],Tabela!$A:$C,3,FALSE),"")</f>
        <v>ENCARGOS SOCIAIS - 13º SALARIO</v>
      </c>
      <c r="M156" s="11">
        <f>VLOOKUP(Tabela1[[#This Row],[ANO]]&amp;Tabela1[[#This Row],[Meses]],Tabela!$O:$P,2,FALSE)</f>
        <v>44197</v>
      </c>
      <c r="N156" t="str">
        <f t="shared" si="7"/>
        <v>4.01.01.01.06</v>
      </c>
      <c r="O156" s="5">
        <f>IF(Tabela1[[#This Row],[Contas]]="","",IF(Tabela1[[#This Row],[Contas]]="1.01.01.03.01",Tabela1[[#This Row],[Valor Débito]],Tabela1[[#This Row],[Movimento]]))</f>
        <v>6975.38</v>
      </c>
      <c r="P156" s="2" t="str">
        <f>IF(Tabela1[[#This Row],[Contas]]="","",IF(Tabela1[[#This Row],[Tam Conta]]=13,Tabela1[[#This Row],[Descrição Original]],P155))</f>
        <v>PROV. PARA      CUSTOS DO EXERCICIO</v>
      </c>
    </row>
    <row r="157" spans="1:16" x14ac:dyDescent="0.35">
      <c r="A157">
        <v>2021</v>
      </c>
      <c r="B157" t="s">
        <v>44</v>
      </c>
      <c r="C157" s="57" t="s">
        <v>109</v>
      </c>
      <c r="D157" s="49" t="s">
        <v>568</v>
      </c>
      <c r="E157" s="50">
        <v>0</v>
      </c>
      <c r="F157" s="50">
        <v>9679.32</v>
      </c>
      <c r="G157" s="50">
        <v>0</v>
      </c>
      <c r="H157" s="50">
        <f t="shared" si="8"/>
        <v>9679.32</v>
      </c>
      <c r="I157" s="50">
        <v>9679.32</v>
      </c>
      <c r="J157" s="49" t="s">
        <v>57</v>
      </c>
      <c r="K157">
        <f t="shared" si="6"/>
        <v>17</v>
      </c>
      <c r="L157" t="str">
        <f>IF(Tabela1[[#This Row],[Tam Conta]]=17,VLOOKUP(Tabela1[[#This Row],[Conta]],Tabela!$A:$C,3,FALSE),"")</f>
        <v>ENCARGOS SOCIAIS - FERIAS</v>
      </c>
      <c r="M157" s="11">
        <f>VLOOKUP(Tabela1[[#This Row],[ANO]]&amp;Tabela1[[#This Row],[Meses]],Tabela!$O:$P,2,FALSE)</f>
        <v>44197</v>
      </c>
      <c r="N157" t="str">
        <f t="shared" si="7"/>
        <v>4.01.01.01.06</v>
      </c>
      <c r="O157" s="5">
        <f>IF(Tabela1[[#This Row],[Contas]]="","",IF(Tabela1[[#This Row],[Contas]]="1.01.01.03.01",Tabela1[[#This Row],[Valor Débito]],Tabela1[[#This Row],[Movimento]]))</f>
        <v>9679.32</v>
      </c>
      <c r="P157" s="2" t="str">
        <f>IF(Tabela1[[#This Row],[Contas]]="","",IF(Tabela1[[#This Row],[Tam Conta]]=13,Tabela1[[#This Row],[Descrição Original]],P156))</f>
        <v>PROV. PARA      CUSTOS DO EXERCICIO</v>
      </c>
    </row>
    <row r="158" spans="1:16" x14ac:dyDescent="0.35">
      <c r="A158">
        <v>2021</v>
      </c>
      <c r="B158" t="s">
        <v>44</v>
      </c>
      <c r="C158" s="57" t="s">
        <v>96</v>
      </c>
      <c r="D158" s="49" t="s">
        <v>97</v>
      </c>
      <c r="E158" s="50">
        <v>2575.83</v>
      </c>
      <c r="F158" s="50">
        <v>0</v>
      </c>
      <c r="G158" s="50">
        <v>0</v>
      </c>
      <c r="H158" s="50">
        <f t="shared" si="8"/>
        <v>0</v>
      </c>
      <c r="I158" s="50">
        <v>2575.83</v>
      </c>
      <c r="J158" s="49" t="s">
        <v>57</v>
      </c>
      <c r="K158">
        <f t="shared" si="6"/>
        <v>13</v>
      </c>
      <c r="L158" t="str">
        <f>IF(Tabela1[[#This Row],[Tam Conta]]=17,VLOOKUP(Tabela1[[#This Row],[Conta]],Tabela!$A:$C,3,FALSE),"")</f>
        <v/>
      </c>
      <c r="M158" s="11">
        <f>VLOOKUP(Tabela1[[#This Row],[ANO]]&amp;Tabela1[[#This Row],[Meses]],Tabela!$O:$P,2,FALSE)</f>
        <v>44197</v>
      </c>
      <c r="N158" t="str">
        <f t="shared" si="7"/>
        <v>4.01.01.01.07</v>
      </c>
      <c r="O158" s="5">
        <f>IF(Tabela1[[#This Row],[Contas]]="","",IF(Tabela1[[#This Row],[Contas]]="1.01.01.03.01",Tabela1[[#This Row],[Valor Débito]],Tabela1[[#This Row],[Movimento]]))</f>
        <v>0</v>
      </c>
      <c r="P158" s="2" t="str">
        <f>IF(Tabela1[[#This Row],[Contas]]="","",IF(Tabela1[[#This Row],[Tam Conta]]=13,Tabela1[[#This Row],[Descrição Original]],P157))</f>
        <v>IMPOSTOS, TAXAS E CONTRIBUICOES</v>
      </c>
    </row>
    <row r="159" spans="1:16" x14ac:dyDescent="0.35">
      <c r="A159">
        <v>2021</v>
      </c>
      <c r="B159" t="s">
        <v>44</v>
      </c>
      <c r="C159" s="57" t="s">
        <v>103</v>
      </c>
      <c r="D159" s="49" t="s">
        <v>41</v>
      </c>
      <c r="E159" s="50">
        <v>2575.83</v>
      </c>
      <c r="F159" s="50">
        <v>0</v>
      </c>
      <c r="G159" s="50">
        <v>0</v>
      </c>
      <c r="H159" s="50">
        <f t="shared" si="8"/>
        <v>0</v>
      </c>
      <c r="I159" s="50">
        <v>2575.83</v>
      </c>
      <c r="J159" s="49" t="s">
        <v>57</v>
      </c>
      <c r="K159">
        <f t="shared" si="6"/>
        <v>17</v>
      </c>
      <c r="L159" t="str">
        <f>IF(Tabela1[[#This Row],[Tam Conta]]=17,VLOOKUP(Tabela1[[#This Row],[Conta]],Tabela!$A:$C,3,FALSE),"")</f>
        <v>MULTAS</v>
      </c>
      <c r="M159" s="11">
        <f>VLOOKUP(Tabela1[[#This Row],[ANO]]&amp;Tabela1[[#This Row],[Meses]],Tabela!$O:$P,2,FALSE)</f>
        <v>44197</v>
      </c>
      <c r="N159" t="str">
        <f t="shared" si="7"/>
        <v>4.01.01.01.07</v>
      </c>
      <c r="O159" s="5">
        <f>IF(Tabela1[[#This Row],[Contas]]="","",IF(Tabela1[[#This Row],[Contas]]="1.01.01.03.01",Tabela1[[#This Row],[Valor Débito]],Tabela1[[#This Row],[Movimento]]))</f>
        <v>0</v>
      </c>
      <c r="P159" s="2" t="str">
        <f>IF(Tabela1[[#This Row],[Contas]]="","",IF(Tabela1[[#This Row],[Tam Conta]]=13,Tabela1[[#This Row],[Descrição Original]],P158))</f>
        <v>IMPOSTOS, TAXAS E CONTRIBUICOES</v>
      </c>
    </row>
    <row r="160" spans="1:16" x14ac:dyDescent="0.35">
      <c r="A160">
        <v>2021</v>
      </c>
      <c r="B160" t="s">
        <v>44</v>
      </c>
      <c r="C160" s="57" t="s">
        <v>110</v>
      </c>
      <c r="D160" s="49" t="s">
        <v>111</v>
      </c>
      <c r="E160" s="50">
        <v>0</v>
      </c>
      <c r="F160" s="50">
        <v>7113.95</v>
      </c>
      <c r="G160" s="50">
        <v>0</v>
      </c>
      <c r="H160" s="50">
        <f t="shared" si="8"/>
        <v>7113.95</v>
      </c>
      <c r="I160" s="50">
        <v>7113.95</v>
      </c>
      <c r="J160" s="49" t="s">
        <v>57</v>
      </c>
      <c r="K160">
        <f t="shared" si="6"/>
        <v>13</v>
      </c>
      <c r="L160" t="str">
        <f>IF(Tabela1[[#This Row],[Tam Conta]]=17,VLOOKUP(Tabela1[[#This Row],[Conta]],Tabela!$A:$C,3,FALSE),"")</f>
        <v/>
      </c>
      <c r="M160" s="11">
        <f>VLOOKUP(Tabela1[[#This Row],[ANO]]&amp;Tabela1[[#This Row],[Meses]],Tabela!$O:$P,2,FALSE)</f>
        <v>44197</v>
      </c>
      <c r="N160" t="str">
        <f t="shared" si="7"/>
        <v>4.01.01.01.08</v>
      </c>
      <c r="O160" s="5">
        <f>IF(Tabela1[[#This Row],[Contas]]="","",IF(Tabela1[[#This Row],[Contas]]="1.01.01.03.01",Tabela1[[#This Row],[Valor Débito]],Tabela1[[#This Row],[Movimento]]))</f>
        <v>7113.95</v>
      </c>
      <c r="P160" s="2" t="str">
        <f>IF(Tabela1[[#This Row],[Contas]]="","",IF(Tabela1[[#This Row],[Tam Conta]]=13,Tabela1[[#This Row],[Descrição Original]],P159))</f>
        <v>DESPESAS FINANCEIRAS</v>
      </c>
    </row>
    <row r="161" spans="1:16" x14ac:dyDescent="0.35">
      <c r="A161">
        <v>2021</v>
      </c>
      <c r="B161" t="s">
        <v>44</v>
      </c>
      <c r="C161" s="57" t="s">
        <v>112</v>
      </c>
      <c r="D161" s="49" t="s">
        <v>40</v>
      </c>
      <c r="E161" s="50">
        <v>0</v>
      </c>
      <c r="F161" s="50">
        <v>7113.95</v>
      </c>
      <c r="G161" s="50">
        <v>0</v>
      </c>
      <c r="H161" s="50">
        <f t="shared" si="8"/>
        <v>7113.95</v>
      </c>
      <c r="I161" s="50">
        <v>7113.95</v>
      </c>
      <c r="J161" s="49" t="s">
        <v>57</v>
      </c>
      <c r="K161">
        <f t="shared" si="6"/>
        <v>17</v>
      </c>
      <c r="L161" t="str">
        <f>IF(Tabela1[[#This Row],[Tam Conta]]=17,VLOOKUP(Tabela1[[#This Row],[Conta]],Tabela!$A:$C,3,FALSE),"")</f>
        <v>JUROS E CORRECAO MONETARIA</v>
      </c>
      <c r="M161" s="11">
        <f>VLOOKUP(Tabela1[[#This Row],[ANO]]&amp;Tabela1[[#This Row],[Meses]],Tabela!$O:$P,2,FALSE)</f>
        <v>44197</v>
      </c>
      <c r="N161" t="str">
        <f t="shared" si="7"/>
        <v>4.01.01.01.08</v>
      </c>
      <c r="O161" s="5">
        <f>IF(Tabela1[[#This Row],[Contas]]="","",IF(Tabela1[[#This Row],[Contas]]="1.01.01.03.01",Tabela1[[#This Row],[Valor Débito]],Tabela1[[#This Row],[Movimento]]))</f>
        <v>7113.95</v>
      </c>
      <c r="P161" s="2" t="str">
        <f>IF(Tabela1[[#This Row],[Contas]]="","",IF(Tabela1[[#This Row],[Tam Conta]]=13,Tabela1[[#This Row],[Descrição Original]],P160))</f>
        <v>DESPESAS FINANCEIRAS</v>
      </c>
    </row>
    <row r="162" spans="1:16" x14ac:dyDescent="0.35">
      <c r="A162">
        <v>2021</v>
      </c>
      <c r="B162" t="s">
        <v>45</v>
      </c>
      <c r="C162" s="56">
        <v>1</v>
      </c>
      <c r="D162" s="49" t="s">
        <v>194</v>
      </c>
      <c r="E162" s="50">
        <v>73353436.870000005</v>
      </c>
      <c r="F162" s="50">
        <v>442038.7</v>
      </c>
      <c r="G162" s="50">
        <v>851474.3</v>
      </c>
      <c r="H162" s="50">
        <f t="shared" si="8"/>
        <v>-409435.60000000003</v>
      </c>
      <c r="I162" s="50">
        <v>72944001.269999996</v>
      </c>
      <c r="J162" s="49" t="s">
        <v>57</v>
      </c>
      <c r="K162">
        <f t="shared" si="6"/>
        <v>1</v>
      </c>
      <c r="L162" t="str">
        <f>IF(Tabela1[[#This Row],[Tam Conta]]=17,VLOOKUP(Tabela1[[#This Row],[Conta]],Tabela!$A:$C,3,FALSE),"")</f>
        <v/>
      </c>
      <c r="M162" s="11">
        <f>VLOOKUP(Tabela1[[#This Row],[ANO]]&amp;Tabela1[[#This Row],[Meses]],Tabela!$O:$P,2,FALSE)</f>
        <v>44228</v>
      </c>
      <c r="N162" t="str">
        <f t="shared" si="7"/>
        <v/>
      </c>
      <c r="O162" s="5" t="str">
        <f>IF(Tabela1[[#This Row],[Contas]]="","",IF(Tabela1[[#This Row],[Contas]]="1.01.01.03.01",Tabela1[[#This Row],[Valor Débito]],Tabela1[[#This Row],[Movimento]]))</f>
        <v/>
      </c>
      <c r="P162" s="2" t="str">
        <f>IF(Tabela1[[#This Row],[Contas]]="","",IF(Tabela1[[#This Row],[Tam Conta]]=13,Tabela1[[#This Row],[Descrição Original]],P161))</f>
        <v/>
      </c>
    </row>
    <row r="163" spans="1:16" x14ac:dyDescent="0.35">
      <c r="A163">
        <v>2021</v>
      </c>
      <c r="B163" t="s">
        <v>45</v>
      </c>
      <c r="C163" s="57" t="s">
        <v>198</v>
      </c>
      <c r="D163" s="49" t="s">
        <v>199</v>
      </c>
      <c r="E163" s="50">
        <v>73353436.870000005</v>
      </c>
      <c r="F163" s="50">
        <v>442038.7</v>
      </c>
      <c r="G163" s="50">
        <v>851474.3</v>
      </c>
      <c r="H163" s="50">
        <f t="shared" si="8"/>
        <v>-409435.60000000003</v>
      </c>
      <c r="I163" s="50">
        <v>72944001.269999996</v>
      </c>
      <c r="J163" s="49" t="s">
        <v>57</v>
      </c>
      <c r="K163">
        <f>LEN(C163)</f>
        <v>4</v>
      </c>
      <c r="L163" t="str">
        <f>IF(Tabela1[[#This Row],[Tam Conta]]=17,VLOOKUP(Tabela1[[#This Row],[Conta]],Tabela!$A:$C,3,FALSE),"")</f>
        <v/>
      </c>
      <c r="M163" s="11">
        <f>VLOOKUP(Tabela1[[#This Row],[ANO]]&amp;Tabela1[[#This Row],[Meses]],Tabela!$O:$P,2,FALSE)</f>
        <v>44228</v>
      </c>
      <c r="N163" t="str">
        <f t="shared" ref="N163:N226" si="9">IF(K163&gt;=13,MID(C163,1,13),"")</f>
        <v/>
      </c>
      <c r="O163" s="5" t="str">
        <f>IF(Tabela1[[#This Row],[Contas]]="","",IF(Tabela1[[#This Row],[Contas]]="1.01.01.03.01",Tabela1[[#This Row],[Valor Débito]],Tabela1[[#This Row],[Movimento]]))</f>
        <v/>
      </c>
      <c r="P163" s="2" t="str">
        <f>IF(Tabela1[[#This Row],[Contas]]="","",IF(Tabela1[[#This Row],[Tam Conta]]=13,Tabela1[[#This Row],[Descrição Original]],P162))</f>
        <v/>
      </c>
    </row>
    <row r="164" spans="1:16" x14ac:dyDescent="0.35">
      <c r="A164">
        <v>2021</v>
      </c>
      <c r="B164" t="s">
        <v>45</v>
      </c>
      <c r="C164" s="57" t="s">
        <v>200</v>
      </c>
      <c r="D164" s="49" t="s">
        <v>201</v>
      </c>
      <c r="E164" s="50">
        <v>73353436.870000005</v>
      </c>
      <c r="F164" s="50">
        <v>442038.7</v>
      </c>
      <c r="G164" s="50">
        <v>851474.3</v>
      </c>
      <c r="H164" s="50">
        <f t="shared" si="8"/>
        <v>-409435.60000000003</v>
      </c>
      <c r="I164" s="50">
        <v>72944001.269999996</v>
      </c>
      <c r="J164" s="49" t="s">
        <v>57</v>
      </c>
      <c r="K164">
        <f t="shared" ref="K164:K227" si="10">LEN(C164)</f>
        <v>7</v>
      </c>
      <c r="L164" t="str">
        <f>IF(Tabela1[[#This Row],[Tam Conta]]=17,VLOOKUP(Tabela1[[#This Row],[Conta]],Tabela!$A:$C,3,FALSE),"")</f>
        <v/>
      </c>
      <c r="M164" s="11">
        <f>VLOOKUP(Tabela1[[#This Row],[ANO]]&amp;Tabela1[[#This Row],[Meses]],Tabela!$O:$P,2,FALSE)</f>
        <v>44228</v>
      </c>
      <c r="N164" t="str">
        <f t="shared" si="9"/>
        <v/>
      </c>
      <c r="O164" s="5" t="str">
        <f>IF(Tabela1[[#This Row],[Contas]]="","",IF(Tabela1[[#This Row],[Contas]]="1.01.01.03.01",Tabela1[[#This Row],[Valor Débito]],Tabela1[[#This Row],[Movimento]]))</f>
        <v/>
      </c>
      <c r="P164" s="2" t="str">
        <f>IF(Tabela1[[#This Row],[Contas]]="","",IF(Tabela1[[#This Row],[Tam Conta]]=13,Tabela1[[#This Row],[Descrição Original]],P163))</f>
        <v/>
      </c>
    </row>
    <row r="165" spans="1:16" x14ac:dyDescent="0.35">
      <c r="A165">
        <v>2021</v>
      </c>
      <c r="B165" t="s">
        <v>45</v>
      </c>
      <c r="C165" s="57" t="s">
        <v>202</v>
      </c>
      <c r="D165" s="49" t="s">
        <v>203</v>
      </c>
      <c r="E165" s="50">
        <v>12349474.119999999</v>
      </c>
      <c r="F165" s="50">
        <v>442038.7</v>
      </c>
      <c r="G165" s="50">
        <v>851474.3</v>
      </c>
      <c r="H165" s="50">
        <f t="shared" si="8"/>
        <v>-409435.60000000003</v>
      </c>
      <c r="I165" s="50">
        <v>11940038.52</v>
      </c>
      <c r="J165" s="49" t="s">
        <v>57</v>
      </c>
      <c r="K165">
        <f t="shared" si="10"/>
        <v>10</v>
      </c>
      <c r="L165" t="str">
        <f>IF(Tabela1[[#This Row],[Tam Conta]]=17,VLOOKUP(Tabela1[[#This Row],[Conta]],Tabela!$A:$C,3,FALSE),"")</f>
        <v/>
      </c>
      <c r="M165" s="11">
        <f>VLOOKUP(Tabela1[[#This Row],[ANO]]&amp;Tabela1[[#This Row],[Meses]],Tabela!$O:$P,2,FALSE)</f>
        <v>44228</v>
      </c>
      <c r="N165" t="str">
        <f t="shared" si="9"/>
        <v/>
      </c>
      <c r="O165" s="5" t="str">
        <f>IF(Tabela1[[#This Row],[Contas]]="","",IF(Tabela1[[#This Row],[Contas]]="1.01.01.03.01",Tabela1[[#This Row],[Valor Débito]],Tabela1[[#This Row],[Movimento]]))</f>
        <v/>
      </c>
      <c r="P165" s="2" t="str">
        <f>IF(Tabela1[[#This Row],[Contas]]="","",IF(Tabela1[[#This Row],[Tam Conta]]=13,Tabela1[[#This Row],[Descrição Original]],P164))</f>
        <v/>
      </c>
    </row>
    <row r="166" spans="1:16" x14ac:dyDescent="0.35">
      <c r="A166">
        <v>2021</v>
      </c>
      <c r="B166" t="s">
        <v>45</v>
      </c>
      <c r="C166" s="57" t="s">
        <v>204</v>
      </c>
      <c r="D166" s="49" t="s">
        <v>205</v>
      </c>
      <c r="E166" s="50">
        <v>0</v>
      </c>
      <c r="F166" s="50">
        <v>425737.15</v>
      </c>
      <c r="G166" s="50">
        <v>425737.15</v>
      </c>
      <c r="H166" s="50">
        <f t="shared" si="8"/>
        <v>0</v>
      </c>
      <c r="I166" s="50">
        <v>0</v>
      </c>
      <c r="J166" s="49" t="s">
        <v>57</v>
      </c>
      <c r="K166">
        <f t="shared" si="10"/>
        <v>13</v>
      </c>
      <c r="L166" t="str">
        <f>IF(Tabela1[[#This Row],[Tam Conta]]=17,VLOOKUP(Tabela1[[#This Row],[Conta]],Tabela!$A:$C,3,FALSE),"")</f>
        <v/>
      </c>
      <c r="M166" s="11">
        <f>VLOOKUP(Tabela1[[#This Row],[ANO]]&amp;Tabela1[[#This Row],[Meses]],Tabela!$O:$P,2,FALSE)</f>
        <v>44228</v>
      </c>
      <c r="N166" t="str">
        <f t="shared" si="9"/>
        <v>1.01.01.01.02</v>
      </c>
      <c r="O166" s="5">
        <f>IF(Tabela1[[#This Row],[Contas]]="","",IF(Tabela1[[#This Row],[Contas]]="1.01.01.03.01",Tabela1[[#This Row],[Valor Débito]],Tabela1[[#This Row],[Movimento]]))</f>
        <v>0</v>
      </c>
      <c r="P166" s="2" t="str">
        <f>IF(Tabela1[[#This Row],[Contas]]="","",IF(Tabela1[[#This Row],[Tam Conta]]=13,Tabela1[[#This Row],[Descrição Original]],P165))</f>
        <v>BANCOS C/MOVIMENTO - SAUDE</v>
      </c>
    </row>
    <row r="167" spans="1:16" x14ac:dyDescent="0.35">
      <c r="A167">
        <v>2021</v>
      </c>
      <c r="B167" t="s">
        <v>45</v>
      </c>
      <c r="C167" s="57" t="s">
        <v>569</v>
      </c>
      <c r="D167" s="49" t="s">
        <v>538</v>
      </c>
      <c r="E167" s="50">
        <v>0</v>
      </c>
      <c r="F167" s="50">
        <v>425737.15</v>
      </c>
      <c r="G167" s="50">
        <v>425737.15</v>
      </c>
      <c r="H167" s="50">
        <f t="shared" si="8"/>
        <v>0</v>
      </c>
      <c r="I167" s="50">
        <v>0</v>
      </c>
      <c r="J167" s="49" t="s">
        <v>57</v>
      </c>
      <c r="K167">
        <f t="shared" si="10"/>
        <v>17</v>
      </c>
      <c r="L167" t="str">
        <f>IF(Tabela1[[#This Row],[Tam Conta]]=17,VLOOKUP(Tabela1[[#This Row],[Conta]],Tabela!$A:$C,3,FALSE),"")</f>
        <v>BANCO DO ESTADO DO ESPIRITO SANTO C.C. 3083935-1</v>
      </c>
      <c r="M167" s="11">
        <f>VLOOKUP(Tabela1[[#This Row],[ANO]]&amp;Tabela1[[#This Row],[Meses]],Tabela!$O:$P,2,FALSE)</f>
        <v>44228</v>
      </c>
      <c r="N167" t="str">
        <f t="shared" si="9"/>
        <v>1.01.01.01.02</v>
      </c>
      <c r="O167" s="5">
        <f>IF(Tabela1[[#This Row],[Contas]]="","",IF(Tabela1[[#This Row],[Contas]]="1.01.01.03.01",Tabela1[[#This Row],[Valor Débito]],Tabela1[[#This Row],[Movimento]]))</f>
        <v>0</v>
      </c>
      <c r="P167" s="2" t="str">
        <f>IF(Tabela1[[#This Row],[Contas]]="","",IF(Tabela1[[#This Row],[Tam Conta]]=13,Tabela1[[#This Row],[Descrição Original]],P166))</f>
        <v>BANCOS C/MOVIMENTO - SAUDE</v>
      </c>
    </row>
    <row r="168" spans="1:16" x14ac:dyDescent="0.35">
      <c r="A168">
        <v>2021</v>
      </c>
      <c r="B168" t="s">
        <v>45</v>
      </c>
      <c r="C168" s="57" t="s">
        <v>539</v>
      </c>
      <c r="D168" s="49" t="s">
        <v>540</v>
      </c>
      <c r="E168" s="50">
        <v>12349474.119999999</v>
      </c>
      <c r="F168" s="50">
        <v>16301.55</v>
      </c>
      <c r="G168" s="50">
        <v>425737.15</v>
      </c>
      <c r="H168" s="50">
        <f t="shared" si="8"/>
        <v>-409435.60000000003</v>
      </c>
      <c r="I168" s="50">
        <v>11940038.52</v>
      </c>
      <c r="J168" s="49" t="s">
        <v>57</v>
      </c>
      <c r="K168">
        <f t="shared" si="10"/>
        <v>13</v>
      </c>
      <c r="L168" t="str">
        <f>IF(Tabela1[[#This Row],[Tam Conta]]=17,VLOOKUP(Tabela1[[#This Row],[Conta]],Tabela!$A:$C,3,FALSE),"")</f>
        <v/>
      </c>
      <c r="M168" s="11">
        <f>VLOOKUP(Tabela1[[#This Row],[ANO]]&amp;Tabela1[[#This Row],[Meses]],Tabela!$O:$P,2,FALSE)</f>
        <v>44228</v>
      </c>
      <c r="N168" t="str">
        <f t="shared" si="9"/>
        <v>1.01.01.01.03</v>
      </c>
      <c r="O168" s="5">
        <f>IF(Tabela1[[#This Row],[Contas]]="","",IF(Tabela1[[#This Row],[Contas]]="1.01.01.03.01",Tabela1[[#This Row],[Valor Débito]],Tabela1[[#This Row],[Movimento]]))</f>
        <v>-409435.60000000003</v>
      </c>
      <c r="P168" s="2" t="str">
        <f>IF(Tabela1[[#This Row],[Contas]]="","",IF(Tabela1[[#This Row],[Tam Conta]]=13,Tabela1[[#This Row],[Descrição Original]],P167))</f>
        <v>APLICACOES FINANCEIRAS DE LIQUIDEZ IMEDIATA</v>
      </c>
    </row>
    <row r="169" spans="1:16" x14ac:dyDescent="0.35">
      <c r="A169">
        <v>2021</v>
      </c>
      <c r="B169" t="s">
        <v>45</v>
      </c>
      <c r="C169" s="57" t="s">
        <v>541</v>
      </c>
      <c r="D169" s="49" t="s">
        <v>538</v>
      </c>
      <c r="E169" s="50">
        <v>12349474.119999999</v>
      </c>
      <c r="F169" s="50">
        <v>16301.55</v>
      </c>
      <c r="G169" s="50">
        <v>425737.15</v>
      </c>
      <c r="H169" s="50">
        <f t="shared" si="8"/>
        <v>-409435.60000000003</v>
      </c>
      <c r="I169" s="50">
        <v>11940038.52</v>
      </c>
      <c r="J169" s="49" t="s">
        <v>57</v>
      </c>
      <c r="K169">
        <f t="shared" si="10"/>
        <v>17</v>
      </c>
      <c r="L169" t="str">
        <f>IF(Tabela1[[#This Row],[Tam Conta]]=17,VLOOKUP(Tabela1[[#This Row],[Conta]],Tabela!$A:$C,3,FALSE),"")</f>
        <v>BANCO DO ESTADO DO ESPIRITO SANTO C.C. 3083935-1</v>
      </c>
      <c r="M169" s="11">
        <f>VLOOKUP(Tabela1[[#This Row],[ANO]]&amp;Tabela1[[#This Row],[Meses]],Tabela!$O:$P,2,FALSE)</f>
        <v>44228</v>
      </c>
      <c r="N169" t="str">
        <f t="shared" si="9"/>
        <v>1.01.01.01.03</v>
      </c>
      <c r="O169" s="5">
        <f>IF(Tabela1[[#This Row],[Contas]]="","",IF(Tabela1[[#This Row],[Contas]]="1.01.01.03.01",Tabela1[[#This Row],[Valor Débito]],Tabela1[[#This Row],[Movimento]]))</f>
        <v>-409435.60000000003</v>
      </c>
      <c r="P169" s="2" t="str">
        <f>IF(Tabela1[[#This Row],[Contas]]="","",IF(Tabela1[[#This Row],[Tam Conta]]=13,Tabela1[[#This Row],[Descrição Original]],P168))</f>
        <v>APLICACOES FINANCEIRAS DE LIQUIDEZ IMEDIATA</v>
      </c>
    </row>
    <row r="170" spans="1:16" x14ac:dyDescent="0.35">
      <c r="A170">
        <v>2021</v>
      </c>
      <c r="B170" t="s">
        <v>45</v>
      </c>
      <c r="C170" s="57" t="s">
        <v>210</v>
      </c>
      <c r="D170" s="49" t="s">
        <v>211</v>
      </c>
      <c r="E170" s="50">
        <v>61003962.75</v>
      </c>
      <c r="F170" s="50">
        <v>0</v>
      </c>
      <c r="G170" s="50">
        <v>0</v>
      </c>
      <c r="H170" s="50">
        <f t="shared" si="8"/>
        <v>0</v>
      </c>
      <c r="I170" s="50">
        <v>61003962.75</v>
      </c>
      <c r="J170" s="49" t="s">
        <v>57</v>
      </c>
      <c r="K170">
        <f t="shared" si="10"/>
        <v>10</v>
      </c>
      <c r="L170" t="str">
        <f>IF(Tabela1[[#This Row],[Tam Conta]]=17,VLOOKUP(Tabela1[[#This Row],[Conta]],Tabela!$A:$C,3,FALSE),"")</f>
        <v/>
      </c>
      <c r="M170" s="11">
        <f>VLOOKUP(Tabela1[[#This Row],[ANO]]&amp;Tabela1[[#This Row],[Meses]],Tabela!$O:$P,2,FALSE)</f>
        <v>44228</v>
      </c>
      <c r="N170" t="str">
        <f t="shared" si="9"/>
        <v/>
      </c>
      <c r="O170" s="5" t="str">
        <f>IF(Tabela1[[#This Row],[Contas]]="","",IF(Tabela1[[#This Row],[Contas]]="1.01.01.03.01",Tabela1[[#This Row],[Valor Débito]],Tabela1[[#This Row],[Movimento]]))</f>
        <v/>
      </c>
      <c r="P170" s="2" t="str">
        <f>IF(Tabela1[[#This Row],[Contas]]="","",IF(Tabela1[[#This Row],[Tam Conta]]=13,Tabela1[[#This Row],[Descrição Original]],P169))</f>
        <v/>
      </c>
    </row>
    <row r="171" spans="1:16" x14ac:dyDescent="0.35">
      <c r="A171">
        <v>2021</v>
      </c>
      <c r="B171" t="s">
        <v>45</v>
      </c>
      <c r="C171" s="57" t="s">
        <v>216</v>
      </c>
      <c r="D171" s="49" t="s">
        <v>217</v>
      </c>
      <c r="E171" s="50">
        <v>3277.43</v>
      </c>
      <c r="F171" s="50">
        <v>0</v>
      </c>
      <c r="G171" s="50">
        <v>0</v>
      </c>
      <c r="H171" s="50">
        <f t="shared" si="8"/>
        <v>0</v>
      </c>
      <c r="I171" s="50">
        <v>3277.43</v>
      </c>
      <c r="J171" s="49" t="s">
        <v>57</v>
      </c>
      <c r="K171">
        <f t="shared" si="10"/>
        <v>13</v>
      </c>
      <c r="L171" t="str">
        <f>IF(Tabela1[[#This Row],[Tam Conta]]=17,VLOOKUP(Tabela1[[#This Row],[Conta]],Tabela!$A:$C,3,FALSE),"")</f>
        <v/>
      </c>
      <c r="M171" s="11">
        <f>VLOOKUP(Tabela1[[#This Row],[ANO]]&amp;Tabela1[[#This Row],[Meses]],Tabela!$O:$P,2,FALSE)</f>
        <v>44228</v>
      </c>
      <c r="N171" t="str">
        <f t="shared" si="9"/>
        <v>1.01.01.02.06</v>
      </c>
      <c r="O171" s="5">
        <f>IF(Tabela1[[#This Row],[Contas]]="","",IF(Tabela1[[#This Row],[Contas]]="1.01.01.03.01",Tabela1[[#This Row],[Valor Débito]],Tabela1[[#This Row],[Movimento]]))</f>
        <v>0</v>
      </c>
      <c r="P171" s="2" t="str">
        <f>IF(Tabela1[[#This Row],[Contas]]="","",IF(Tabela1[[#This Row],[Tam Conta]]=13,Tabela1[[#This Row],[Descrição Original]],P170))</f>
        <v>CREDITOS DE FUNCIONARIOS</v>
      </c>
    </row>
    <row r="172" spans="1:16" x14ac:dyDescent="0.35">
      <c r="A172">
        <v>2021</v>
      </c>
      <c r="B172" t="s">
        <v>45</v>
      </c>
      <c r="C172" s="57" t="s">
        <v>219</v>
      </c>
      <c r="D172" s="49" t="s">
        <v>566</v>
      </c>
      <c r="E172" s="50">
        <v>3277.43</v>
      </c>
      <c r="F172" s="50">
        <v>0</v>
      </c>
      <c r="G172" s="50">
        <v>0</v>
      </c>
      <c r="H172" s="50">
        <f t="shared" si="8"/>
        <v>0</v>
      </c>
      <c r="I172" s="50">
        <v>3277.43</v>
      </c>
      <c r="J172" s="49" t="s">
        <v>57</v>
      </c>
      <c r="K172">
        <f t="shared" si="10"/>
        <v>17</v>
      </c>
      <c r="L172" t="str">
        <f>IF(Tabela1[[#This Row],[Tam Conta]]=17,VLOOKUP(Tabela1[[#This Row],[Conta]],Tabela!$A:$C,3,FALSE),"")</f>
        <v>OUTROS ADIANTAMENTOS A FUNCIONARIOS</v>
      </c>
      <c r="M172" s="11">
        <f>VLOOKUP(Tabela1[[#This Row],[ANO]]&amp;Tabela1[[#This Row],[Meses]],Tabela!$O:$P,2,FALSE)</f>
        <v>44228</v>
      </c>
      <c r="N172" t="str">
        <f t="shared" si="9"/>
        <v>1.01.01.02.06</v>
      </c>
      <c r="O172" s="5">
        <f>IF(Tabela1[[#This Row],[Contas]]="","",IF(Tabela1[[#This Row],[Contas]]="1.01.01.03.01",Tabela1[[#This Row],[Valor Débito]],Tabela1[[#This Row],[Movimento]]))</f>
        <v>0</v>
      </c>
      <c r="P172" s="2" t="str">
        <f>IF(Tabela1[[#This Row],[Contas]]="","",IF(Tabela1[[#This Row],[Tam Conta]]=13,Tabela1[[#This Row],[Descrição Original]],P171))</f>
        <v>CREDITOS DE FUNCIONARIOS</v>
      </c>
    </row>
    <row r="173" spans="1:16" x14ac:dyDescent="0.35">
      <c r="A173">
        <v>2021</v>
      </c>
      <c r="B173" t="s">
        <v>45</v>
      </c>
      <c r="C173" s="57" t="s">
        <v>222</v>
      </c>
      <c r="D173" s="49" t="s">
        <v>223</v>
      </c>
      <c r="E173" s="50">
        <v>61000000</v>
      </c>
      <c r="F173" s="50">
        <v>0</v>
      </c>
      <c r="G173" s="50">
        <v>0</v>
      </c>
      <c r="H173" s="50">
        <f t="shared" si="8"/>
        <v>0</v>
      </c>
      <c r="I173" s="50">
        <v>61000000</v>
      </c>
      <c r="J173" s="49" t="s">
        <v>57</v>
      </c>
      <c r="K173">
        <f t="shared" si="10"/>
        <v>13</v>
      </c>
      <c r="L173" t="str">
        <f>IF(Tabela1[[#This Row],[Tam Conta]]=17,VLOOKUP(Tabela1[[#This Row],[Conta]],Tabela!$A:$C,3,FALSE),"")</f>
        <v/>
      </c>
      <c r="M173" s="11">
        <f>VLOOKUP(Tabela1[[#This Row],[ANO]]&amp;Tabela1[[#This Row],[Meses]],Tabela!$O:$P,2,FALSE)</f>
        <v>44228</v>
      </c>
      <c r="N173" t="str">
        <f t="shared" si="9"/>
        <v>1.01.01.02.07</v>
      </c>
      <c r="O173" s="5">
        <f>IF(Tabela1[[#This Row],[Contas]]="","",IF(Tabela1[[#This Row],[Contas]]="1.01.01.03.01",Tabela1[[#This Row],[Valor Débito]],Tabela1[[#This Row],[Movimento]]))</f>
        <v>0</v>
      </c>
      <c r="P173" s="2" t="str">
        <f>IF(Tabela1[[#This Row],[Contas]]="","",IF(Tabela1[[#This Row],[Tam Conta]]=13,Tabela1[[#This Row],[Descrição Original]],P172))</f>
        <v>OUTROS CREDITOS</v>
      </c>
    </row>
    <row r="174" spans="1:16" x14ac:dyDescent="0.35">
      <c r="A174">
        <v>2021</v>
      </c>
      <c r="B174" t="s">
        <v>45</v>
      </c>
      <c r="C174" s="57" t="s">
        <v>544</v>
      </c>
      <c r="D174" s="49" t="s">
        <v>545</v>
      </c>
      <c r="E174" s="50">
        <v>61000000</v>
      </c>
      <c r="F174" s="50">
        <v>0</v>
      </c>
      <c r="G174" s="50">
        <v>0</v>
      </c>
      <c r="H174" s="50">
        <f t="shared" si="8"/>
        <v>0</v>
      </c>
      <c r="I174" s="50">
        <v>61000000</v>
      </c>
      <c r="J174" s="49" t="s">
        <v>57</v>
      </c>
      <c r="K174">
        <f t="shared" si="10"/>
        <v>17</v>
      </c>
      <c r="L174" t="str">
        <f>IF(Tabela1[[#This Row],[Tam Conta]]=17,VLOOKUP(Tabela1[[#This Row],[Conta]],Tabela!$A:$C,3,FALSE),"")</f>
        <v>SUBVENÇÕES E ASSITÊNCIA GOVERNAMENTAIS A REALIZAR</v>
      </c>
      <c r="M174" s="11">
        <f>VLOOKUP(Tabela1[[#This Row],[ANO]]&amp;Tabela1[[#This Row],[Meses]],Tabela!$O:$P,2,FALSE)</f>
        <v>44228</v>
      </c>
      <c r="N174" t="str">
        <f t="shared" si="9"/>
        <v>1.01.01.02.07</v>
      </c>
      <c r="O174" s="5">
        <f>IF(Tabela1[[#This Row],[Contas]]="","",IF(Tabela1[[#This Row],[Contas]]="1.01.01.03.01",Tabela1[[#This Row],[Valor Débito]],Tabela1[[#This Row],[Movimento]]))</f>
        <v>0</v>
      </c>
      <c r="P174" s="2" t="str">
        <f>IF(Tabela1[[#This Row],[Contas]]="","",IF(Tabela1[[#This Row],[Tam Conta]]=13,Tabela1[[#This Row],[Descrição Original]],P173))</f>
        <v>OUTROS CREDITOS</v>
      </c>
    </row>
    <row r="175" spans="1:16" x14ac:dyDescent="0.35">
      <c r="A175">
        <v>2021</v>
      </c>
      <c r="B175" t="s">
        <v>45</v>
      </c>
      <c r="C175" s="57" t="s">
        <v>546</v>
      </c>
      <c r="D175" s="49" t="s">
        <v>547</v>
      </c>
      <c r="E175" s="50">
        <v>685.32</v>
      </c>
      <c r="F175" s="50">
        <v>0</v>
      </c>
      <c r="G175" s="50">
        <v>0</v>
      </c>
      <c r="H175" s="50">
        <f t="shared" si="8"/>
        <v>0</v>
      </c>
      <c r="I175" s="50">
        <v>685.32</v>
      </c>
      <c r="J175" s="49" t="s">
        <v>57</v>
      </c>
      <c r="K175">
        <f t="shared" si="10"/>
        <v>13</v>
      </c>
      <c r="L175" t="str">
        <f>IF(Tabela1[[#This Row],[Tam Conta]]=17,VLOOKUP(Tabela1[[#This Row],[Conta]],Tabela!$A:$C,3,FALSE),"")</f>
        <v/>
      </c>
      <c r="M175" s="11">
        <f>VLOOKUP(Tabela1[[#This Row],[ANO]]&amp;Tabela1[[#This Row],[Meses]],Tabela!$O:$P,2,FALSE)</f>
        <v>44228</v>
      </c>
      <c r="N175" t="str">
        <f t="shared" si="9"/>
        <v>1.01.01.02.11</v>
      </c>
      <c r="O175" s="5">
        <f>IF(Tabela1[[#This Row],[Contas]]="","",IF(Tabela1[[#This Row],[Contas]]="1.01.01.03.01",Tabela1[[#This Row],[Valor Débito]],Tabela1[[#This Row],[Movimento]]))</f>
        <v>0</v>
      </c>
      <c r="P175" s="2" t="str">
        <f>IF(Tabela1[[#This Row],[Contas]]="","",IF(Tabela1[[#This Row],[Tam Conta]]=13,Tabela1[[#This Row],[Descrição Original]],P174))</f>
        <v>IMPOSTOS A RECUPERAR</v>
      </c>
    </row>
    <row r="176" spans="1:16" x14ac:dyDescent="0.35">
      <c r="A176">
        <v>2021</v>
      </c>
      <c r="B176" t="s">
        <v>45</v>
      </c>
      <c r="C176" s="57" t="s">
        <v>548</v>
      </c>
      <c r="D176" s="49" t="s">
        <v>549</v>
      </c>
      <c r="E176" s="50">
        <v>251.35</v>
      </c>
      <c r="F176" s="50">
        <v>0</v>
      </c>
      <c r="G176" s="50">
        <v>0</v>
      </c>
      <c r="H176" s="50">
        <f t="shared" si="8"/>
        <v>0</v>
      </c>
      <c r="I176" s="50">
        <v>251.35</v>
      </c>
      <c r="J176" s="49" t="s">
        <v>57</v>
      </c>
      <c r="K176">
        <f t="shared" si="10"/>
        <v>17</v>
      </c>
      <c r="L176" t="str">
        <f>IF(Tabela1[[#This Row],[Tam Conta]]=17,VLOOKUP(Tabela1[[#This Row],[Conta]],Tabela!$A:$C,3,FALSE),"")</f>
        <v>IRRF A RECUPERAR</v>
      </c>
      <c r="M176" s="11">
        <f>VLOOKUP(Tabela1[[#This Row],[ANO]]&amp;Tabela1[[#This Row],[Meses]],Tabela!$O:$P,2,FALSE)</f>
        <v>44228</v>
      </c>
      <c r="N176" t="str">
        <f t="shared" si="9"/>
        <v>1.01.01.02.11</v>
      </c>
      <c r="O176" s="5">
        <f>IF(Tabela1[[#This Row],[Contas]]="","",IF(Tabela1[[#This Row],[Contas]]="1.01.01.03.01",Tabela1[[#This Row],[Valor Débito]],Tabela1[[#This Row],[Movimento]]))</f>
        <v>0</v>
      </c>
      <c r="P176" s="2" t="str">
        <f>IF(Tabela1[[#This Row],[Contas]]="","",IF(Tabela1[[#This Row],[Tam Conta]]=13,Tabela1[[#This Row],[Descrição Original]],P175))</f>
        <v>IMPOSTOS A RECUPERAR</v>
      </c>
    </row>
    <row r="177" spans="1:16" x14ac:dyDescent="0.35">
      <c r="A177">
        <v>2021</v>
      </c>
      <c r="B177" t="s">
        <v>45</v>
      </c>
      <c r="C177" s="57" t="s">
        <v>550</v>
      </c>
      <c r="D177" s="49" t="s">
        <v>551</v>
      </c>
      <c r="E177" s="50">
        <v>433.97</v>
      </c>
      <c r="F177" s="50">
        <v>0</v>
      </c>
      <c r="G177" s="50">
        <v>0</v>
      </c>
      <c r="H177" s="50">
        <f t="shared" si="8"/>
        <v>0</v>
      </c>
      <c r="I177" s="50">
        <v>433.97</v>
      </c>
      <c r="J177" s="49" t="s">
        <v>57</v>
      </c>
      <c r="K177">
        <f t="shared" si="10"/>
        <v>17</v>
      </c>
      <c r="L177" t="str">
        <f>IF(Tabela1[[#This Row],[Tam Conta]]=17,VLOOKUP(Tabela1[[#This Row],[Conta]],Tabela!$A:$C,3,FALSE),"")</f>
        <v>IRRF RETIDO S/ APLICACAO FINANCEIRA</v>
      </c>
      <c r="M177" s="11">
        <f>VLOOKUP(Tabela1[[#This Row],[ANO]]&amp;Tabela1[[#This Row],[Meses]],Tabela!$O:$P,2,FALSE)</f>
        <v>44228</v>
      </c>
      <c r="N177" t="str">
        <f t="shared" si="9"/>
        <v>1.01.01.02.11</v>
      </c>
      <c r="O177" s="5">
        <f>IF(Tabela1[[#This Row],[Contas]]="","",IF(Tabela1[[#This Row],[Contas]]="1.01.01.03.01",Tabela1[[#This Row],[Valor Débito]],Tabela1[[#This Row],[Movimento]]))</f>
        <v>0</v>
      </c>
      <c r="P177" s="2" t="str">
        <f>IF(Tabela1[[#This Row],[Contas]]="","",IF(Tabela1[[#This Row],[Tam Conta]]=13,Tabela1[[#This Row],[Descrição Original]],P176))</f>
        <v>IMPOSTOS A RECUPERAR</v>
      </c>
    </row>
    <row r="178" spans="1:16" x14ac:dyDescent="0.35">
      <c r="A178">
        <v>2021</v>
      </c>
      <c r="B178" t="s">
        <v>45</v>
      </c>
      <c r="C178" s="56">
        <v>2</v>
      </c>
      <c r="D178" s="49" t="s">
        <v>552</v>
      </c>
      <c r="E178" s="50">
        <v>73408761.25</v>
      </c>
      <c r="F178" s="50">
        <v>795068.57</v>
      </c>
      <c r="G178" s="50">
        <v>423374.16</v>
      </c>
      <c r="H178" s="50">
        <f t="shared" si="8"/>
        <v>371694.41</v>
      </c>
      <c r="I178" s="50">
        <v>73037066.840000004</v>
      </c>
      <c r="J178" s="49" t="s">
        <v>3257</v>
      </c>
      <c r="K178">
        <f t="shared" si="10"/>
        <v>1</v>
      </c>
      <c r="L178" t="str">
        <f>IF(Tabela1[[#This Row],[Tam Conta]]=17,VLOOKUP(Tabela1[[#This Row],[Conta]],Tabela!$A:$C,3,FALSE),"")</f>
        <v/>
      </c>
      <c r="M178" s="11">
        <f>VLOOKUP(Tabela1[[#This Row],[ANO]]&amp;Tabela1[[#This Row],[Meses]],Tabela!$O:$P,2,FALSE)</f>
        <v>44228</v>
      </c>
      <c r="N178" t="str">
        <f t="shared" si="9"/>
        <v/>
      </c>
      <c r="O178" s="5" t="str">
        <f>IF(Tabela1[[#This Row],[Contas]]="","",IF(Tabela1[[#This Row],[Contas]]="1.01.01.03.01",Tabela1[[#This Row],[Valor Débito]],Tabela1[[#This Row],[Movimento]]))</f>
        <v/>
      </c>
      <c r="P178" s="2" t="str">
        <f>IF(Tabela1[[#This Row],[Contas]]="","",IF(Tabela1[[#This Row],[Tam Conta]]=13,Tabela1[[#This Row],[Descrição Original]],P177))</f>
        <v/>
      </c>
    </row>
    <row r="179" spans="1:16" x14ac:dyDescent="0.35">
      <c r="A179">
        <v>2021</v>
      </c>
      <c r="B179" t="s">
        <v>45</v>
      </c>
      <c r="C179" s="57" t="s">
        <v>343</v>
      </c>
      <c r="D179" s="49" t="s">
        <v>344</v>
      </c>
      <c r="E179" s="50">
        <v>73408761.25</v>
      </c>
      <c r="F179" s="50">
        <v>795068.57</v>
      </c>
      <c r="G179" s="50">
        <v>423374.16</v>
      </c>
      <c r="H179" s="50">
        <f t="shared" si="8"/>
        <v>371694.41</v>
      </c>
      <c r="I179" s="50">
        <v>73037066.840000004</v>
      </c>
      <c r="J179" s="49" t="s">
        <v>3257</v>
      </c>
      <c r="K179">
        <f t="shared" si="10"/>
        <v>4</v>
      </c>
      <c r="L179" t="str">
        <f>IF(Tabela1[[#This Row],[Tam Conta]]=17,VLOOKUP(Tabela1[[#This Row],[Conta]],Tabela!$A:$C,3,FALSE),"")</f>
        <v/>
      </c>
      <c r="M179" s="11">
        <f>VLOOKUP(Tabela1[[#This Row],[ANO]]&amp;Tabela1[[#This Row],[Meses]],Tabela!$O:$P,2,FALSE)</f>
        <v>44228</v>
      </c>
      <c r="N179" t="str">
        <f t="shared" si="9"/>
        <v/>
      </c>
      <c r="O179" s="5" t="str">
        <f>IF(Tabela1[[#This Row],[Contas]]="","",IF(Tabela1[[#This Row],[Contas]]="1.01.01.03.01",Tabela1[[#This Row],[Valor Débito]],Tabela1[[#This Row],[Movimento]]))</f>
        <v/>
      </c>
      <c r="P179" s="2" t="str">
        <f>IF(Tabela1[[#This Row],[Contas]]="","",IF(Tabela1[[#This Row],[Tam Conta]]=13,Tabela1[[#This Row],[Descrição Original]],P178))</f>
        <v/>
      </c>
    </row>
    <row r="180" spans="1:16" x14ac:dyDescent="0.35">
      <c r="A180">
        <v>2021</v>
      </c>
      <c r="B180" t="s">
        <v>45</v>
      </c>
      <c r="C180" s="57" t="s">
        <v>345</v>
      </c>
      <c r="D180" s="49" t="s">
        <v>346</v>
      </c>
      <c r="E180" s="50">
        <v>612511.04</v>
      </c>
      <c r="F180" s="50">
        <v>369331.42</v>
      </c>
      <c r="G180" s="50">
        <v>423374.16</v>
      </c>
      <c r="H180" s="50">
        <f t="shared" si="8"/>
        <v>-54042.739999999991</v>
      </c>
      <c r="I180" s="50">
        <v>666553.78</v>
      </c>
      <c r="J180" s="49" t="s">
        <v>3257</v>
      </c>
      <c r="K180">
        <f t="shared" si="10"/>
        <v>7</v>
      </c>
      <c r="L180" t="str">
        <f>IF(Tabela1[[#This Row],[Tam Conta]]=17,VLOOKUP(Tabela1[[#This Row],[Conta]],Tabela!$A:$C,3,FALSE),"")</f>
        <v/>
      </c>
      <c r="M180" s="11">
        <f>VLOOKUP(Tabela1[[#This Row],[ANO]]&amp;Tabela1[[#This Row],[Meses]],Tabela!$O:$P,2,FALSE)</f>
        <v>44228</v>
      </c>
      <c r="N180" t="str">
        <f t="shared" si="9"/>
        <v/>
      </c>
      <c r="O180" s="5" t="str">
        <f>IF(Tabela1[[#This Row],[Contas]]="","",IF(Tabela1[[#This Row],[Contas]]="1.01.01.03.01",Tabela1[[#This Row],[Valor Débito]],Tabela1[[#This Row],[Movimento]]))</f>
        <v/>
      </c>
      <c r="P180" s="2" t="str">
        <f>IF(Tabela1[[#This Row],[Contas]]="","",IF(Tabela1[[#This Row],[Tam Conta]]=13,Tabela1[[#This Row],[Descrição Original]],P179))</f>
        <v/>
      </c>
    </row>
    <row r="181" spans="1:16" x14ac:dyDescent="0.35">
      <c r="A181">
        <v>2021</v>
      </c>
      <c r="B181" t="s">
        <v>45</v>
      </c>
      <c r="C181" s="57" t="s">
        <v>368</v>
      </c>
      <c r="D181" s="49" t="s">
        <v>369</v>
      </c>
      <c r="E181" s="50">
        <v>612511.04</v>
      </c>
      <c r="F181" s="50">
        <v>369331.42</v>
      </c>
      <c r="G181" s="50">
        <v>423374.16</v>
      </c>
      <c r="H181" s="50">
        <f t="shared" si="8"/>
        <v>-54042.739999999991</v>
      </c>
      <c r="I181" s="50">
        <v>666553.78</v>
      </c>
      <c r="J181" s="49" t="s">
        <v>3257</v>
      </c>
      <c r="K181">
        <f t="shared" si="10"/>
        <v>10</v>
      </c>
      <c r="L181" t="str">
        <f>IF(Tabela1[[#This Row],[Tam Conta]]=17,VLOOKUP(Tabela1[[#This Row],[Conta]],Tabela!$A:$C,3,FALSE),"")</f>
        <v/>
      </c>
      <c r="M181" s="11">
        <f>VLOOKUP(Tabela1[[#This Row],[ANO]]&amp;Tabela1[[#This Row],[Meses]],Tabela!$O:$P,2,FALSE)</f>
        <v>44228</v>
      </c>
      <c r="N181" t="str">
        <f t="shared" si="9"/>
        <v/>
      </c>
      <c r="O181" s="5" t="str">
        <f>IF(Tabela1[[#This Row],[Contas]]="","",IF(Tabela1[[#This Row],[Contas]]="1.01.01.03.01",Tabela1[[#This Row],[Valor Débito]],Tabela1[[#This Row],[Movimento]]))</f>
        <v/>
      </c>
      <c r="P181" s="2" t="str">
        <f>IF(Tabela1[[#This Row],[Contas]]="","",IF(Tabela1[[#This Row],[Tam Conta]]=13,Tabela1[[#This Row],[Descrição Original]],P180))</f>
        <v/>
      </c>
    </row>
    <row r="182" spans="1:16" x14ac:dyDescent="0.35">
      <c r="A182">
        <v>2021</v>
      </c>
      <c r="B182" t="s">
        <v>45</v>
      </c>
      <c r="C182" s="57" t="s">
        <v>370</v>
      </c>
      <c r="D182" s="49" t="s">
        <v>371</v>
      </c>
      <c r="E182" s="50">
        <v>186468.68</v>
      </c>
      <c r="F182" s="50">
        <v>239163.43</v>
      </c>
      <c r="G182" s="50">
        <v>241215.28</v>
      </c>
      <c r="H182" s="50">
        <f t="shared" si="8"/>
        <v>-2051.8500000000058</v>
      </c>
      <c r="I182" s="50">
        <v>188520.53</v>
      </c>
      <c r="J182" s="49" t="s">
        <v>3257</v>
      </c>
      <c r="K182">
        <f t="shared" si="10"/>
        <v>13</v>
      </c>
      <c r="L182" t="str">
        <f>IF(Tabela1[[#This Row],[Tam Conta]]=17,VLOOKUP(Tabela1[[#This Row],[Conta]],Tabela!$A:$C,3,FALSE),"")</f>
        <v/>
      </c>
      <c r="M182" s="11">
        <f>VLOOKUP(Tabela1[[#This Row],[ANO]]&amp;Tabela1[[#This Row],[Meses]],Tabela!$O:$P,2,FALSE)</f>
        <v>44228</v>
      </c>
      <c r="N182" t="str">
        <f t="shared" si="9"/>
        <v>2.01.01.02.01</v>
      </c>
      <c r="O182" s="5">
        <f>IF(Tabela1[[#This Row],[Contas]]="","",IF(Tabela1[[#This Row],[Contas]]="1.01.01.03.01",Tabela1[[#This Row],[Valor Débito]],Tabela1[[#This Row],[Movimento]]))</f>
        <v>-2051.8500000000058</v>
      </c>
      <c r="P182" s="2" t="str">
        <f>IF(Tabela1[[#This Row],[Contas]]="","",IF(Tabela1[[#This Row],[Tam Conta]]=13,Tabela1[[#This Row],[Descrição Original]],P181))</f>
        <v>OBRIGACOES TRABALHISTAS</v>
      </c>
    </row>
    <row r="183" spans="1:16" x14ac:dyDescent="0.35">
      <c r="A183">
        <v>2021</v>
      </c>
      <c r="B183" t="s">
        <v>45</v>
      </c>
      <c r="C183" s="57" t="s">
        <v>373</v>
      </c>
      <c r="D183" s="49" t="s">
        <v>374</v>
      </c>
      <c r="E183" s="50">
        <v>186468.68</v>
      </c>
      <c r="F183" s="50">
        <v>239163.43</v>
      </c>
      <c r="G183" s="50">
        <v>241079.17</v>
      </c>
      <c r="H183" s="50">
        <f t="shared" si="8"/>
        <v>-1915.7400000000198</v>
      </c>
      <c r="I183" s="50">
        <v>188384.42</v>
      </c>
      <c r="J183" s="49" t="s">
        <v>3257</v>
      </c>
      <c r="K183">
        <f t="shared" si="10"/>
        <v>17</v>
      </c>
      <c r="L183" t="str">
        <f>IF(Tabela1[[#This Row],[Tam Conta]]=17,VLOOKUP(Tabela1[[#This Row],[Conta]],Tabela!$A:$C,3,FALSE),"")</f>
        <v>ORDENADOS A PAGAR</v>
      </c>
      <c r="M183" s="11">
        <f>VLOOKUP(Tabela1[[#This Row],[ANO]]&amp;Tabela1[[#This Row],[Meses]],Tabela!$O:$P,2,FALSE)</f>
        <v>44228</v>
      </c>
      <c r="N183" t="str">
        <f t="shared" si="9"/>
        <v>2.01.01.02.01</v>
      </c>
      <c r="O183" s="5">
        <f>IF(Tabela1[[#This Row],[Contas]]="","",IF(Tabela1[[#This Row],[Contas]]="1.01.01.03.01",Tabela1[[#This Row],[Valor Débito]],Tabela1[[#This Row],[Movimento]]))</f>
        <v>-1915.7400000000198</v>
      </c>
      <c r="P183" s="2" t="str">
        <f>IF(Tabela1[[#This Row],[Contas]]="","",IF(Tabela1[[#This Row],[Tam Conta]]=13,Tabela1[[#This Row],[Descrição Original]],P182))</f>
        <v>OBRIGACOES TRABALHISTAS</v>
      </c>
    </row>
    <row r="184" spans="1:16" x14ac:dyDescent="0.35">
      <c r="A184">
        <v>2021</v>
      </c>
      <c r="B184" t="s">
        <v>45</v>
      </c>
      <c r="C184" s="57" t="s">
        <v>375</v>
      </c>
      <c r="D184" s="49" t="s">
        <v>376</v>
      </c>
      <c r="E184" s="50">
        <v>0</v>
      </c>
      <c r="F184" s="50">
        <v>0</v>
      </c>
      <c r="G184" s="50">
        <v>136.11000000000001</v>
      </c>
      <c r="H184" s="50">
        <f t="shared" si="8"/>
        <v>-136.11000000000001</v>
      </c>
      <c r="I184" s="50">
        <v>136.11000000000001</v>
      </c>
      <c r="J184" s="49" t="s">
        <v>3257</v>
      </c>
      <c r="K184">
        <f t="shared" si="10"/>
        <v>17</v>
      </c>
      <c r="L184" t="str">
        <f>IF(Tabela1[[#This Row],[Tam Conta]]=17,VLOOKUP(Tabela1[[#This Row],[Conta]],Tabela!$A:$C,3,FALSE),"")</f>
        <v>RESCISOES A PAGAR</v>
      </c>
      <c r="M184" s="11">
        <f>VLOOKUP(Tabela1[[#This Row],[ANO]]&amp;Tabela1[[#This Row],[Meses]],Tabela!$O:$P,2,FALSE)</f>
        <v>44228</v>
      </c>
      <c r="N184" t="str">
        <f t="shared" si="9"/>
        <v>2.01.01.02.01</v>
      </c>
      <c r="O184" s="5">
        <f>IF(Tabela1[[#This Row],[Contas]]="","",IF(Tabela1[[#This Row],[Contas]]="1.01.01.03.01",Tabela1[[#This Row],[Valor Débito]],Tabela1[[#This Row],[Movimento]]))</f>
        <v>-136.11000000000001</v>
      </c>
      <c r="P184" s="2" t="str">
        <f>IF(Tabela1[[#This Row],[Contas]]="","",IF(Tabela1[[#This Row],[Tam Conta]]=13,Tabela1[[#This Row],[Descrição Original]],P183))</f>
        <v>OBRIGACOES TRABALHISTAS</v>
      </c>
    </row>
    <row r="185" spans="1:16" x14ac:dyDescent="0.35">
      <c r="A185">
        <v>2021</v>
      </c>
      <c r="B185" t="s">
        <v>45</v>
      </c>
      <c r="C185" s="57" t="s">
        <v>382</v>
      </c>
      <c r="D185" s="49" t="s">
        <v>383</v>
      </c>
      <c r="E185" s="50">
        <v>162543.65</v>
      </c>
      <c r="F185" s="50">
        <v>97543.97</v>
      </c>
      <c r="G185" s="50">
        <v>98167.33</v>
      </c>
      <c r="H185" s="50">
        <f t="shared" si="8"/>
        <v>-623.36000000000058</v>
      </c>
      <c r="I185" s="50">
        <v>163167.01</v>
      </c>
      <c r="J185" s="49" t="s">
        <v>3257</v>
      </c>
      <c r="K185">
        <f t="shared" si="10"/>
        <v>13</v>
      </c>
      <c r="L185" t="str">
        <f>IF(Tabela1[[#This Row],[Tam Conta]]=17,VLOOKUP(Tabela1[[#This Row],[Conta]],Tabela!$A:$C,3,FALSE),"")</f>
        <v/>
      </c>
      <c r="M185" s="11">
        <f>VLOOKUP(Tabela1[[#This Row],[ANO]]&amp;Tabela1[[#This Row],[Meses]],Tabela!$O:$P,2,FALSE)</f>
        <v>44228</v>
      </c>
      <c r="N185" t="str">
        <f t="shared" si="9"/>
        <v>2.01.01.02.02</v>
      </c>
      <c r="O185" s="5">
        <f>IF(Tabela1[[#This Row],[Contas]]="","",IF(Tabela1[[#This Row],[Contas]]="1.01.01.03.01",Tabela1[[#This Row],[Valor Débito]],Tabela1[[#This Row],[Movimento]]))</f>
        <v>-623.36000000000058</v>
      </c>
      <c r="P185" s="2" t="str">
        <f>IF(Tabela1[[#This Row],[Contas]]="","",IF(Tabela1[[#This Row],[Tam Conta]]=13,Tabela1[[#This Row],[Descrição Original]],P184))</f>
        <v>OBRIGACOES SOCIAIS</v>
      </c>
    </row>
    <row r="186" spans="1:16" x14ac:dyDescent="0.35">
      <c r="A186">
        <v>2021</v>
      </c>
      <c r="B186" t="s">
        <v>45</v>
      </c>
      <c r="C186" s="57" t="s">
        <v>384</v>
      </c>
      <c r="D186" s="49" t="s">
        <v>385</v>
      </c>
      <c r="E186" s="50">
        <v>24455.03</v>
      </c>
      <c r="F186" s="50">
        <v>17308.78</v>
      </c>
      <c r="G186" s="50">
        <v>17398.78</v>
      </c>
      <c r="H186" s="50">
        <f t="shared" si="8"/>
        <v>-90</v>
      </c>
      <c r="I186" s="50">
        <v>24545.03</v>
      </c>
      <c r="J186" s="49" t="s">
        <v>3257</v>
      </c>
      <c r="K186">
        <f t="shared" si="10"/>
        <v>17</v>
      </c>
      <c r="L186" t="str">
        <f>IF(Tabela1[[#This Row],[Tam Conta]]=17,VLOOKUP(Tabela1[[#This Row],[Conta]],Tabela!$A:$C,3,FALSE),"")</f>
        <v>F.G.T.S. A RECOLHER</v>
      </c>
      <c r="M186" s="11">
        <f>VLOOKUP(Tabela1[[#This Row],[ANO]]&amp;Tabela1[[#This Row],[Meses]],Tabela!$O:$P,2,FALSE)</f>
        <v>44228</v>
      </c>
      <c r="N186" t="str">
        <f t="shared" si="9"/>
        <v>2.01.01.02.02</v>
      </c>
      <c r="O186" s="5">
        <f>IF(Tabela1[[#This Row],[Contas]]="","",IF(Tabela1[[#This Row],[Contas]]="1.01.01.03.01",Tabela1[[#This Row],[Valor Débito]],Tabela1[[#This Row],[Movimento]]))</f>
        <v>-90</v>
      </c>
      <c r="P186" s="2" t="str">
        <f>IF(Tabela1[[#This Row],[Contas]]="","",IF(Tabela1[[#This Row],[Tam Conta]]=13,Tabela1[[#This Row],[Descrição Original]],P185))</f>
        <v>OBRIGACOES SOCIAIS</v>
      </c>
    </row>
    <row r="187" spans="1:16" x14ac:dyDescent="0.35">
      <c r="A187">
        <v>2021</v>
      </c>
      <c r="B187" t="s">
        <v>45</v>
      </c>
      <c r="C187" s="57" t="s">
        <v>386</v>
      </c>
      <c r="D187" s="49" t="s">
        <v>553</v>
      </c>
      <c r="E187" s="50">
        <v>134471.71</v>
      </c>
      <c r="F187" s="50">
        <v>78071.62</v>
      </c>
      <c r="G187" s="50">
        <v>78593.72</v>
      </c>
      <c r="H187" s="50">
        <f t="shared" si="8"/>
        <v>-522.10000000000582</v>
      </c>
      <c r="I187" s="50">
        <v>134993.81</v>
      </c>
      <c r="J187" s="49" t="s">
        <v>3257</v>
      </c>
      <c r="K187">
        <f t="shared" si="10"/>
        <v>17</v>
      </c>
      <c r="L187" t="str">
        <f>IF(Tabela1[[#This Row],[Tam Conta]]=17,VLOOKUP(Tabela1[[#This Row],[Conta]],Tabela!$A:$C,3,FALSE),"")</f>
        <v>I.N.S.S. A RECOLHER</v>
      </c>
      <c r="M187" s="11">
        <f>VLOOKUP(Tabela1[[#This Row],[ANO]]&amp;Tabela1[[#This Row],[Meses]],Tabela!$O:$P,2,FALSE)</f>
        <v>44228</v>
      </c>
      <c r="N187" t="str">
        <f t="shared" si="9"/>
        <v>2.01.01.02.02</v>
      </c>
      <c r="O187" s="5">
        <f>IF(Tabela1[[#This Row],[Contas]]="","",IF(Tabela1[[#This Row],[Contas]]="1.01.01.03.01",Tabela1[[#This Row],[Valor Débito]],Tabela1[[#This Row],[Movimento]]))</f>
        <v>-522.10000000000582</v>
      </c>
      <c r="P187" s="2" t="str">
        <f>IF(Tabela1[[#This Row],[Contas]]="","",IF(Tabela1[[#This Row],[Tam Conta]]=13,Tabela1[[#This Row],[Descrição Original]],P186))</f>
        <v>OBRIGACOES SOCIAIS</v>
      </c>
    </row>
    <row r="188" spans="1:16" x14ac:dyDescent="0.35">
      <c r="A188">
        <v>2021</v>
      </c>
      <c r="B188" t="s">
        <v>45</v>
      </c>
      <c r="C188" s="57" t="s">
        <v>388</v>
      </c>
      <c r="D188" s="49" t="s">
        <v>389</v>
      </c>
      <c r="E188" s="50">
        <v>3616.91</v>
      </c>
      <c r="F188" s="50">
        <v>2163.5700000000002</v>
      </c>
      <c r="G188" s="50">
        <v>2174.83</v>
      </c>
      <c r="H188" s="50">
        <f t="shared" si="8"/>
        <v>-11.259999999999764</v>
      </c>
      <c r="I188" s="50">
        <v>3628.17</v>
      </c>
      <c r="J188" s="49" t="s">
        <v>3257</v>
      </c>
      <c r="K188">
        <f t="shared" si="10"/>
        <v>17</v>
      </c>
      <c r="L188" t="str">
        <f>IF(Tabela1[[#This Row],[Tam Conta]]=17,VLOOKUP(Tabela1[[#This Row],[Conta]],Tabela!$A:$C,3,FALSE),"")</f>
        <v>P.I.S. A RECOLHER</v>
      </c>
      <c r="M188" s="11">
        <f>VLOOKUP(Tabela1[[#This Row],[ANO]]&amp;Tabela1[[#This Row],[Meses]],Tabela!$O:$P,2,FALSE)</f>
        <v>44228</v>
      </c>
      <c r="N188" t="str">
        <f t="shared" si="9"/>
        <v>2.01.01.02.02</v>
      </c>
      <c r="O188" s="5">
        <f>IF(Tabela1[[#This Row],[Contas]]="","",IF(Tabela1[[#This Row],[Contas]]="1.01.01.03.01",Tabela1[[#This Row],[Valor Débito]],Tabela1[[#This Row],[Movimento]]))</f>
        <v>-11.259999999999764</v>
      </c>
      <c r="P188" s="2" t="str">
        <f>IF(Tabela1[[#This Row],[Contas]]="","",IF(Tabela1[[#This Row],[Tam Conta]]=13,Tabela1[[#This Row],[Descrição Original]],P187))</f>
        <v>OBRIGACOES SOCIAIS</v>
      </c>
    </row>
    <row r="189" spans="1:16" x14ac:dyDescent="0.35">
      <c r="A189">
        <v>2021</v>
      </c>
      <c r="B189" t="s">
        <v>45</v>
      </c>
      <c r="C189" s="57" t="s">
        <v>390</v>
      </c>
      <c r="D189" s="49" t="s">
        <v>391</v>
      </c>
      <c r="E189" s="50">
        <v>32376.95</v>
      </c>
      <c r="F189" s="50">
        <v>31107.88</v>
      </c>
      <c r="G189" s="50">
        <v>32928.9</v>
      </c>
      <c r="H189" s="50">
        <f t="shared" si="8"/>
        <v>-1821.0200000000004</v>
      </c>
      <c r="I189" s="50">
        <v>34197.97</v>
      </c>
      <c r="J189" s="49" t="s">
        <v>3257</v>
      </c>
      <c r="K189">
        <f t="shared" si="10"/>
        <v>13</v>
      </c>
      <c r="L189" t="str">
        <f>IF(Tabela1[[#This Row],[Tam Conta]]=17,VLOOKUP(Tabela1[[#This Row],[Conta]],Tabela!$A:$C,3,FALSE),"")</f>
        <v/>
      </c>
      <c r="M189" s="11">
        <f>VLOOKUP(Tabela1[[#This Row],[ANO]]&amp;Tabela1[[#This Row],[Meses]],Tabela!$O:$P,2,FALSE)</f>
        <v>44228</v>
      </c>
      <c r="N189" t="str">
        <f t="shared" si="9"/>
        <v>2.01.01.02.03</v>
      </c>
      <c r="O189" s="5">
        <f>IF(Tabela1[[#This Row],[Contas]]="","",IF(Tabela1[[#This Row],[Contas]]="1.01.01.03.01",Tabela1[[#This Row],[Valor Débito]],Tabela1[[#This Row],[Movimento]]))</f>
        <v>-1821.0200000000004</v>
      </c>
      <c r="P189" s="2" t="str">
        <f>IF(Tabela1[[#This Row],[Contas]]="","",IF(Tabela1[[#This Row],[Tam Conta]]=13,Tabela1[[#This Row],[Descrição Original]],P188))</f>
        <v>OBRIGACOES FISCAIS</v>
      </c>
    </row>
    <row r="190" spans="1:16" x14ac:dyDescent="0.35">
      <c r="A190">
        <v>2021</v>
      </c>
      <c r="B190" t="s">
        <v>45</v>
      </c>
      <c r="C190" s="57" t="s">
        <v>401</v>
      </c>
      <c r="D190" s="49" t="s">
        <v>554</v>
      </c>
      <c r="E190" s="50">
        <v>32376.95</v>
      </c>
      <c r="F190" s="50">
        <v>31107.88</v>
      </c>
      <c r="G190" s="50">
        <v>32928.9</v>
      </c>
      <c r="H190" s="50">
        <f t="shared" si="8"/>
        <v>-1821.0200000000004</v>
      </c>
      <c r="I190" s="50">
        <v>34197.97</v>
      </c>
      <c r="J190" s="49" t="s">
        <v>3257</v>
      </c>
      <c r="K190">
        <f t="shared" si="10"/>
        <v>17</v>
      </c>
      <c r="L190" t="str">
        <f>IF(Tabela1[[#This Row],[Tam Conta]]=17,VLOOKUP(Tabela1[[#This Row],[Conta]],Tabela!$A:$C,3,FALSE),"")</f>
        <v>I.R.R.F. A RECOLHER SOBRE FOPAG</v>
      </c>
      <c r="M190" s="11">
        <f>VLOOKUP(Tabela1[[#This Row],[ANO]]&amp;Tabela1[[#This Row],[Meses]],Tabela!$O:$P,2,FALSE)</f>
        <v>44228</v>
      </c>
      <c r="N190" t="str">
        <f t="shared" si="9"/>
        <v>2.01.01.02.03</v>
      </c>
      <c r="O190" s="5">
        <f>IF(Tabela1[[#This Row],[Contas]]="","",IF(Tabela1[[#This Row],[Contas]]="1.01.01.03.01",Tabela1[[#This Row],[Valor Débito]],Tabela1[[#This Row],[Movimento]]))</f>
        <v>-1821.0200000000004</v>
      </c>
      <c r="P190" s="2" t="str">
        <f>IF(Tabela1[[#This Row],[Contas]]="","",IF(Tabela1[[#This Row],[Tam Conta]]=13,Tabela1[[#This Row],[Descrição Original]],P189))</f>
        <v>OBRIGACOES FISCAIS</v>
      </c>
    </row>
    <row r="191" spans="1:16" x14ac:dyDescent="0.35">
      <c r="A191">
        <v>2021</v>
      </c>
      <c r="B191" t="s">
        <v>45</v>
      </c>
      <c r="C191" s="57" t="s">
        <v>410</v>
      </c>
      <c r="D191" s="49" t="s">
        <v>411</v>
      </c>
      <c r="E191" s="50">
        <v>231121.76</v>
      </c>
      <c r="F191" s="50">
        <v>1516.14</v>
      </c>
      <c r="G191" s="50">
        <v>51062.65</v>
      </c>
      <c r="H191" s="50">
        <f t="shared" si="8"/>
        <v>-49546.51</v>
      </c>
      <c r="I191" s="50">
        <v>280668.27</v>
      </c>
      <c r="J191" s="49" t="s">
        <v>3257</v>
      </c>
      <c r="K191">
        <f t="shared" si="10"/>
        <v>13</v>
      </c>
      <c r="L191" t="str">
        <f>IF(Tabela1[[#This Row],[Tam Conta]]=17,VLOOKUP(Tabela1[[#This Row],[Conta]],Tabela!$A:$C,3,FALSE),"")</f>
        <v/>
      </c>
      <c r="M191" s="11">
        <f>VLOOKUP(Tabela1[[#This Row],[ANO]]&amp;Tabela1[[#This Row],[Meses]],Tabela!$O:$P,2,FALSE)</f>
        <v>44228</v>
      </c>
      <c r="N191" t="str">
        <f t="shared" si="9"/>
        <v>2.01.01.02.05</v>
      </c>
      <c r="O191" s="5">
        <f>IF(Tabela1[[#This Row],[Contas]]="","",IF(Tabela1[[#This Row],[Contas]]="1.01.01.03.01",Tabela1[[#This Row],[Valor Débito]],Tabela1[[#This Row],[Movimento]]))</f>
        <v>-49546.51</v>
      </c>
      <c r="P191" s="2" t="str">
        <f>IF(Tabela1[[#This Row],[Contas]]="","",IF(Tabela1[[#This Row],[Tam Conta]]=13,Tabela1[[#This Row],[Descrição Original]],P190))</f>
        <v>PROVISOES</v>
      </c>
    </row>
    <row r="192" spans="1:16" x14ac:dyDescent="0.35">
      <c r="A192">
        <v>2021</v>
      </c>
      <c r="B192" t="s">
        <v>45</v>
      </c>
      <c r="C192" s="57" t="s">
        <v>412</v>
      </c>
      <c r="D192" s="49" t="s">
        <v>413</v>
      </c>
      <c r="E192" s="50">
        <v>18954.62</v>
      </c>
      <c r="F192" s="50">
        <v>467.98</v>
      </c>
      <c r="G192" s="50">
        <v>18975.849999999999</v>
      </c>
      <c r="H192" s="50">
        <f t="shared" si="8"/>
        <v>-18507.87</v>
      </c>
      <c r="I192" s="50">
        <v>37462.49</v>
      </c>
      <c r="J192" s="49" t="s">
        <v>3257</v>
      </c>
      <c r="K192">
        <f t="shared" si="10"/>
        <v>17</v>
      </c>
      <c r="L192" t="str">
        <f>IF(Tabela1[[#This Row],[Tam Conta]]=17,VLOOKUP(Tabela1[[#This Row],[Conta]],Tabela!$A:$C,3,FALSE),"")</f>
        <v>PROVISAO PARA   13 SALARIO</v>
      </c>
      <c r="M192" s="11">
        <f>VLOOKUP(Tabela1[[#This Row],[ANO]]&amp;Tabela1[[#This Row],[Meses]],Tabela!$O:$P,2,FALSE)</f>
        <v>44228</v>
      </c>
      <c r="N192" t="str">
        <f t="shared" si="9"/>
        <v>2.01.01.02.05</v>
      </c>
      <c r="O192" s="5">
        <f>IF(Tabela1[[#This Row],[Contas]]="","",IF(Tabela1[[#This Row],[Contas]]="1.01.01.03.01",Tabela1[[#This Row],[Valor Débito]],Tabela1[[#This Row],[Movimento]]))</f>
        <v>-18507.87</v>
      </c>
      <c r="P192" s="2" t="str">
        <f>IF(Tabela1[[#This Row],[Contas]]="","",IF(Tabela1[[#This Row],[Tam Conta]]=13,Tabela1[[#This Row],[Descrição Original]],P191))</f>
        <v>PROVISOES</v>
      </c>
    </row>
    <row r="193" spans="1:16" x14ac:dyDescent="0.35">
      <c r="A193">
        <v>2021</v>
      </c>
      <c r="B193" t="s">
        <v>45</v>
      </c>
      <c r="C193" s="57" t="s">
        <v>415</v>
      </c>
      <c r="D193" s="49" t="s">
        <v>555</v>
      </c>
      <c r="E193" s="50">
        <v>149994.10999999999</v>
      </c>
      <c r="F193" s="50">
        <v>646.33000000000004</v>
      </c>
      <c r="G193" s="50">
        <v>18356.810000000001</v>
      </c>
      <c r="H193" s="50">
        <f t="shared" si="8"/>
        <v>-17710.48</v>
      </c>
      <c r="I193" s="50">
        <v>167704.59</v>
      </c>
      <c r="J193" s="49" t="s">
        <v>3257</v>
      </c>
      <c r="K193">
        <f t="shared" si="10"/>
        <v>17</v>
      </c>
      <c r="L193" t="str">
        <f>IF(Tabela1[[#This Row],[Tam Conta]]=17,VLOOKUP(Tabela1[[#This Row],[Conta]],Tabela!$A:$C,3,FALSE),"")</f>
        <v>PROVISAO PARA   FERIAS</v>
      </c>
      <c r="M193" s="11">
        <f>VLOOKUP(Tabela1[[#This Row],[ANO]]&amp;Tabela1[[#This Row],[Meses]],Tabela!$O:$P,2,FALSE)</f>
        <v>44228</v>
      </c>
      <c r="N193" t="str">
        <f t="shared" si="9"/>
        <v>2.01.01.02.05</v>
      </c>
      <c r="O193" s="5">
        <f>IF(Tabela1[[#This Row],[Contas]]="","",IF(Tabela1[[#This Row],[Contas]]="1.01.01.03.01",Tabela1[[#This Row],[Valor Débito]],Tabela1[[#This Row],[Movimento]]))</f>
        <v>-17710.48</v>
      </c>
      <c r="P193" s="2" t="str">
        <f>IF(Tabela1[[#This Row],[Contas]]="","",IF(Tabela1[[#This Row],[Tam Conta]]=13,Tabela1[[#This Row],[Descrição Original]],P192))</f>
        <v>PROVISOES</v>
      </c>
    </row>
    <row r="194" spans="1:16" x14ac:dyDescent="0.35">
      <c r="A194">
        <v>2021</v>
      </c>
      <c r="B194" t="s">
        <v>45</v>
      </c>
      <c r="C194" s="57" t="s">
        <v>418</v>
      </c>
      <c r="D194" s="49" t="s">
        <v>556</v>
      </c>
      <c r="E194" s="50">
        <v>6975.38</v>
      </c>
      <c r="F194" s="50">
        <v>172.22</v>
      </c>
      <c r="G194" s="50">
        <v>6982.88</v>
      </c>
      <c r="H194" s="50">
        <f t="shared" si="8"/>
        <v>-6810.66</v>
      </c>
      <c r="I194" s="50">
        <v>13786.04</v>
      </c>
      <c r="J194" s="49" t="s">
        <v>3257</v>
      </c>
      <c r="K194">
        <f t="shared" si="10"/>
        <v>17</v>
      </c>
      <c r="L194" t="str">
        <f>IF(Tabela1[[#This Row],[Tam Conta]]=17,VLOOKUP(Tabela1[[#This Row],[Conta]],Tabela!$A:$C,3,FALSE),"")</f>
        <v>PROVISAO PARA   ENCARGOS SOCIAIS - 13º SALARIO</v>
      </c>
      <c r="M194" s="11">
        <f>VLOOKUP(Tabela1[[#This Row],[ANO]]&amp;Tabela1[[#This Row],[Meses]],Tabela!$O:$P,2,FALSE)</f>
        <v>44228</v>
      </c>
      <c r="N194" t="str">
        <f t="shared" si="9"/>
        <v>2.01.01.02.05</v>
      </c>
      <c r="O194" s="5">
        <f>IF(Tabela1[[#This Row],[Contas]]="","",IF(Tabela1[[#This Row],[Contas]]="1.01.01.03.01",Tabela1[[#This Row],[Valor Débito]],Tabela1[[#This Row],[Movimento]]))</f>
        <v>-6810.66</v>
      </c>
      <c r="P194" s="2" t="str">
        <f>IF(Tabela1[[#This Row],[Contas]]="","",IF(Tabela1[[#This Row],[Tam Conta]]=13,Tabela1[[#This Row],[Descrição Original]],P193))</f>
        <v>PROVISOES</v>
      </c>
    </row>
    <row r="195" spans="1:16" x14ac:dyDescent="0.35">
      <c r="A195">
        <v>2021</v>
      </c>
      <c r="B195" t="s">
        <v>45</v>
      </c>
      <c r="C195" s="57" t="s">
        <v>421</v>
      </c>
      <c r="D195" s="49" t="s">
        <v>557</v>
      </c>
      <c r="E195" s="50">
        <v>55197.65</v>
      </c>
      <c r="F195" s="50">
        <v>229.61</v>
      </c>
      <c r="G195" s="50">
        <v>6747.11</v>
      </c>
      <c r="H195" s="50">
        <f t="shared" si="8"/>
        <v>-6517.5</v>
      </c>
      <c r="I195" s="50">
        <v>61715.15</v>
      </c>
      <c r="J195" s="49" t="s">
        <v>3257</v>
      </c>
      <c r="K195">
        <f t="shared" si="10"/>
        <v>17</v>
      </c>
      <c r="L195" t="str">
        <f>IF(Tabela1[[#This Row],[Tam Conta]]=17,VLOOKUP(Tabela1[[#This Row],[Conta]],Tabela!$A:$C,3,FALSE),"")</f>
        <v>PROVISÃO PARA ENCARGOS SOCIAIS - FERIAS</v>
      </c>
      <c r="M195" s="11">
        <f>VLOOKUP(Tabela1[[#This Row],[ANO]]&amp;Tabela1[[#This Row],[Meses]],Tabela!$O:$P,2,FALSE)</f>
        <v>44228</v>
      </c>
      <c r="N195" t="str">
        <f t="shared" si="9"/>
        <v>2.01.01.02.05</v>
      </c>
      <c r="O195" s="5">
        <f>IF(Tabela1[[#This Row],[Contas]]="","",IF(Tabela1[[#This Row],[Contas]]="1.01.01.03.01",Tabela1[[#This Row],[Valor Débito]],Tabela1[[#This Row],[Movimento]]))</f>
        <v>-6517.5</v>
      </c>
      <c r="P195" s="2" t="str">
        <f>IF(Tabela1[[#This Row],[Contas]]="","",IF(Tabela1[[#This Row],[Tam Conta]]=13,Tabela1[[#This Row],[Descrição Original]],P194))</f>
        <v>PROVISOES</v>
      </c>
    </row>
    <row r="196" spans="1:16" x14ac:dyDescent="0.35">
      <c r="A196">
        <v>2021</v>
      </c>
      <c r="B196" t="s">
        <v>45</v>
      </c>
      <c r="C196" s="57" t="s">
        <v>426</v>
      </c>
      <c r="D196" s="49" t="s">
        <v>427</v>
      </c>
      <c r="E196" s="50">
        <v>73302014.569999993</v>
      </c>
      <c r="F196" s="50">
        <v>425737.15</v>
      </c>
      <c r="G196" s="50">
        <v>0</v>
      </c>
      <c r="H196" s="50">
        <f t="shared" si="8"/>
        <v>425737.15</v>
      </c>
      <c r="I196" s="50">
        <v>72876277.420000002</v>
      </c>
      <c r="J196" s="49" t="s">
        <v>3257</v>
      </c>
      <c r="K196">
        <f t="shared" si="10"/>
        <v>7</v>
      </c>
      <c r="L196" t="str">
        <f>IF(Tabela1[[#This Row],[Tam Conta]]=17,VLOOKUP(Tabela1[[#This Row],[Conta]],Tabela!$A:$C,3,FALSE),"")</f>
        <v/>
      </c>
      <c r="M196" s="11">
        <f>VLOOKUP(Tabela1[[#This Row],[ANO]]&amp;Tabela1[[#This Row],[Meses]],Tabela!$O:$P,2,FALSE)</f>
        <v>44228</v>
      </c>
      <c r="N196" t="str">
        <f t="shared" si="9"/>
        <v/>
      </c>
      <c r="O196" s="5" t="str">
        <f>IF(Tabela1[[#This Row],[Contas]]="","",IF(Tabela1[[#This Row],[Contas]]="1.01.01.03.01",Tabela1[[#This Row],[Valor Débito]],Tabela1[[#This Row],[Movimento]]))</f>
        <v/>
      </c>
      <c r="P196" s="2" t="str">
        <f>IF(Tabela1[[#This Row],[Contas]]="","",IF(Tabela1[[#This Row],[Tam Conta]]=13,Tabela1[[#This Row],[Descrição Original]],P195))</f>
        <v/>
      </c>
    </row>
    <row r="197" spans="1:16" x14ac:dyDescent="0.35">
      <c r="A197">
        <v>2021</v>
      </c>
      <c r="B197" t="s">
        <v>45</v>
      </c>
      <c r="C197" s="49" t="s">
        <v>429</v>
      </c>
      <c r="D197" s="49" t="s">
        <v>430</v>
      </c>
      <c r="E197" s="50">
        <v>73302014.569999993</v>
      </c>
      <c r="F197" s="50">
        <v>425737.15</v>
      </c>
      <c r="G197" s="50">
        <v>0</v>
      </c>
      <c r="H197" s="50">
        <f t="shared" si="8"/>
        <v>425737.15</v>
      </c>
      <c r="I197" s="50">
        <v>72876277.420000002</v>
      </c>
      <c r="J197" s="49" t="s">
        <v>3257</v>
      </c>
      <c r="K197">
        <f t="shared" si="10"/>
        <v>10</v>
      </c>
      <c r="L197" t="str">
        <f>IF(Tabela1[[#This Row],[Tam Conta]]=17,VLOOKUP(Tabela1[[#This Row],[Conta]],Tabela!$A:$C,3,FALSE),"")</f>
        <v/>
      </c>
      <c r="M197" s="11">
        <f>VLOOKUP(Tabela1[[#This Row],[ANO]]&amp;Tabela1[[#This Row],[Meses]],Tabela!$O:$P,2,FALSE)</f>
        <v>44228</v>
      </c>
      <c r="N197" t="str">
        <f t="shared" si="9"/>
        <v/>
      </c>
      <c r="O197" s="5" t="str">
        <f>IF(Tabela1[[#This Row],[Contas]]="","",IF(Tabela1[[#This Row],[Contas]]="1.01.01.03.01",Tabela1[[#This Row],[Valor Débito]],Tabela1[[#This Row],[Movimento]]))</f>
        <v/>
      </c>
      <c r="P197" s="2" t="str">
        <f>IF(Tabela1[[#This Row],[Contas]]="","",IF(Tabela1[[#This Row],[Tam Conta]]=13,Tabela1[[#This Row],[Descrição Original]],P196))</f>
        <v/>
      </c>
    </row>
    <row r="198" spans="1:16" x14ac:dyDescent="0.35">
      <c r="A198">
        <v>2021</v>
      </c>
      <c r="B198" t="s">
        <v>45</v>
      </c>
      <c r="C198" s="57" t="s">
        <v>432</v>
      </c>
      <c r="D198" s="49" t="s">
        <v>433</v>
      </c>
      <c r="E198" s="50">
        <v>73302014.569999993</v>
      </c>
      <c r="F198" s="50">
        <v>425737.15</v>
      </c>
      <c r="G198" s="50">
        <v>0</v>
      </c>
      <c r="H198" s="50">
        <f t="shared" si="8"/>
        <v>425737.15</v>
      </c>
      <c r="I198" s="50">
        <v>72876277.420000002</v>
      </c>
      <c r="J198" s="49" t="s">
        <v>3257</v>
      </c>
      <c r="K198">
        <f t="shared" si="10"/>
        <v>13</v>
      </c>
      <c r="L198" t="str">
        <f>IF(Tabela1[[#This Row],[Tam Conta]]=17,VLOOKUP(Tabela1[[#This Row],[Conta]],Tabela!$A:$C,3,FALSE),"")</f>
        <v/>
      </c>
      <c r="M198" s="11">
        <f>VLOOKUP(Tabela1[[#This Row],[ANO]]&amp;Tabela1[[#This Row],[Meses]],Tabela!$O:$P,2,FALSE)</f>
        <v>44228</v>
      </c>
      <c r="N198" t="str">
        <f t="shared" si="9"/>
        <v>2.02.01.02.01</v>
      </c>
      <c r="O198" s="5">
        <f>IF(Tabela1[[#This Row],[Contas]]="","",IF(Tabela1[[#This Row],[Contas]]="1.01.01.03.01",Tabela1[[#This Row],[Valor Débito]],Tabela1[[#This Row],[Movimento]]))</f>
        <v>425737.15</v>
      </c>
      <c r="P198" s="2" t="str">
        <f>IF(Tabela1[[#This Row],[Contas]]="","",IF(Tabela1[[#This Row],[Tam Conta]]=13,Tabela1[[#This Row],[Descrição Original]],P197))</f>
        <v>RECEITAS DIFERIDAS</v>
      </c>
    </row>
    <row r="199" spans="1:16" x14ac:dyDescent="0.35">
      <c r="A199">
        <v>2021</v>
      </c>
      <c r="B199" t="s">
        <v>45</v>
      </c>
      <c r="C199" s="49" t="s">
        <v>558</v>
      </c>
      <c r="D199" s="49" t="s">
        <v>559</v>
      </c>
      <c r="E199" s="50">
        <v>73302014.569999993</v>
      </c>
      <c r="F199" s="50">
        <v>425737.15</v>
      </c>
      <c r="G199" s="50">
        <v>0</v>
      </c>
      <c r="H199" s="50">
        <f t="shared" si="8"/>
        <v>425737.15</v>
      </c>
      <c r="I199" s="50">
        <v>72876277.420000002</v>
      </c>
      <c r="J199" s="49" t="s">
        <v>3257</v>
      </c>
      <c r="K199">
        <f t="shared" si="10"/>
        <v>17</v>
      </c>
      <c r="L199" t="str">
        <f>IF(Tabela1[[#This Row],[Tam Conta]]=17,VLOOKUP(Tabela1[[#This Row],[Conta]],Tabela!$A:$C,3,FALSE),"")</f>
        <v>SUBVENCAO E ASSISTENCIA GOVERNAMENTAIS A REALIZAR L.P</v>
      </c>
      <c r="M199" s="11">
        <f>VLOOKUP(Tabela1[[#This Row],[ANO]]&amp;Tabela1[[#This Row],[Meses]],Tabela!$O:$P,2,FALSE)</f>
        <v>44228</v>
      </c>
      <c r="N199" t="str">
        <f t="shared" si="9"/>
        <v>2.02.01.02.01</v>
      </c>
      <c r="O199" s="5">
        <f>IF(Tabela1[[#This Row],[Contas]]="","",IF(Tabela1[[#This Row],[Contas]]="1.01.01.03.01",Tabela1[[#This Row],[Valor Débito]],Tabela1[[#This Row],[Movimento]]))</f>
        <v>425737.15</v>
      </c>
      <c r="P199" s="2" t="str">
        <f>IF(Tabela1[[#This Row],[Contas]]="","",IF(Tabela1[[#This Row],[Tam Conta]]=13,Tabela1[[#This Row],[Descrição Original]],P198))</f>
        <v>RECEITAS DIFERIDAS</v>
      </c>
    </row>
    <row r="200" spans="1:16" x14ac:dyDescent="0.35">
      <c r="A200">
        <v>2021</v>
      </c>
      <c r="B200" t="s">
        <v>45</v>
      </c>
      <c r="C200" s="57" t="s">
        <v>439</v>
      </c>
      <c r="D200" s="49" t="s">
        <v>440</v>
      </c>
      <c r="E200" s="50">
        <v>505764.36</v>
      </c>
      <c r="F200" s="50">
        <v>0</v>
      </c>
      <c r="G200" s="50">
        <v>0</v>
      </c>
      <c r="H200" s="50">
        <f t="shared" si="8"/>
        <v>0</v>
      </c>
      <c r="I200" s="50">
        <v>505764.36</v>
      </c>
      <c r="J200" s="49" t="s">
        <v>57</v>
      </c>
      <c r="K200">
        <f t="shared" si="10"/>
        <v>7</v>
      </c>
      <c r="L200" t="str">
        <f>IF(Tabela1[[#This Row],[Tam Conta]]=17,VLOOKUP(Tabela1[[#This Row],[Conta]],Tabela!$A:$C,3,FALSE),"")</f>
        <v/>
      </c>
      <c r="M200" s="11">
        <f>VLOOKUP(Tabela1[[#This Row],[ANO]]&amp;Tabela1[[#This Row],[Meses]],Tabela!$O:$P,2,FALSE)</f>
        <v>44228</v>
      </c>
      <c r="N200" t="str">
        <f t="shared" si="9"/>
        <v/>
      </c>
      <c r="O200" s="5" t="str">
        <f>IF(Tabela1[[#This Row],[Contas]]="","",IF(Tabela1[[#This Row],[Contas]]="1.01.01.03.01",Tabela1[[#This Row],[Valor Débito]],Tabela1[[#This Row],[Movimento]]))</f>
        <v/>
      </c>
      <c r="P200" s="2" t="str">
        <f>IF(Tabela1[[#This Row],[Contas]]="","",IF(Tabela1[[#This Row],[Tam Conta]]=13,Tabela1[[#This Row],[Descrição Original]],P199))</f>
        <v/>
      </c>
    </row>
    <row r="201" spans="1:16" x14ac:dyDescent="0.35">
      <c r="A201">
        <v>2021</v>
      </c>
      <c r="B201" t="s">
        <v>45</v>
      </c>
      <c r="C201" s="57" t="s">
        <v>441</v>
      </c>
      <c r="D201" s="49" t="s">
        <v>442</v>
      </c>
      <c r="E201" s="50">
        <v>505764.36</v>
      </c>
      <c r="F201" s="50">
        <v>0</v>
      </c>
      <c r="G201" s="50">
        <v>0</v>
      </c>
      <c r="H201" s="50">
        <f t="shared" ref="H201:H240" si="11">F201-G201</f>
        <v>0</v>
      </c>
      <c r="I201" s="50">
        <v>505764.36</v>
      </c>
      <c r="J201" s="49" t="s">
        <v>57</v>
      </c>
      <c r="K201">
        <f t="shared" si="10"/>
        <v>10</v>
      </c>
      <c r="L201" t="str">
        <f>IF(Tabela1[[#This Row],[Tam Conta]]=17,VLOOKUP(Tabela1[[#This Row],[Conta]],Tabela!$A:$C,3,FALSE),"")</f>
        <v/>
      </c>
      <c r="M201" s="11">
        <f>VLOOKUP(Tabela1[[#This Row],[ANO]]&amp;Tabela1[[#This Row],[Meses]],Tabela!$O:$P,2,FALSE)</f>
        <v>44228</v>
      </c>
      <c r="N201" t="str">
        <f t="shared" si="9"/>
        <v/>
      </c>
      <c r="O201" s="5" t="str">
        <f>IF(Tabela1[[#This Row],[Contas]]="","",IF(Tabela1[[#This Row],[Contas]]="1.01.01.03.01",Tabela1[[#This Row],[Valor Débito]],Tabela1[[#This Row],[Movimento]]))</f>
        <v/>
      </c>
      <c r="P201" s="2" t="str">
        <f>IF(Tabela1[[#This Row],[Contas]]="","",IF(Tabela1[[#This Row],[Tam Conta]]=13,Tabela1[[#This Row],[Descrição Original]],P200))</f>
        <v/>
      </c>
    </row>
    <row r="202" spans="1:16" x14ac:dyDescent="0.35">
      <c r="A202">
        <v>2021</v>
      </c>
      <c r="B202" t="s">
        <v>45</v>
      </c>
      <c r="C202" s="57" t="s">
        <v>444</v>
      </c>
      <c r="D202" s="49" t="s">
        <v>445</v>
      </c>
      <c r="E202" s="50">
        <v>505764.36</v>
      </c>
      <c r="F202" s="50">
        <v>0</v>
      </c>
      <c r="G202" s="50">
        <v>0</v>
      </c>
      <c r="H202" s="50">
        <f t="shared" si="11"/>
        <v>0</v>
      </c>
      <c r="I202" s="50">
        <v>505764.36</v>
      </c>
      <c r="J202" s="49" t="s">
        <v>57</v>
      </c>
      <c r="K202">
        <f t="shared" si="10"/>
        <v>13</v>
      </c>
      <c r="L202" t="str">
        <f>IF(Tabela1[[#This Row],[Tam Conta]]=17,VLOOKUP(Tabela1[[#This Row],[Conta]],Tabela!$A:$C,3,FALSE),"")</f>
        <v/>
      </c>
      <c r="M202" s="11">
        <f>VLOOKUP(Tabela1[[#This Row],[ANO]]&amp;Tabela1[[#This Row],[Meses]],Tabela!$O:$P,2,FALSE)</f>
        <v>44228</v>
      </c>
      <c r="N202" t="str">
        <f t="shared" si="9"/>
        <v>2.03.01.01.01</v>
      </c>
      <c r="O202" s="5">
        <f>IF(Tabela1[[#This Row],[Contas]]="","",IF(Tabela1[[#This Row],[Contas]]="1.01.01.03.01",Tabela1[[#This Row],[Valor Débito]],Tabela1[[#This Row],[Movimento]]))</f>
        <v>0</v>
      </c>
      <c r="P202" s="2" t="str">
        <f>IF(Tabela1[[#This Row],[Contas]]="","",IF(Tabela1[[#This Row],[Tam Conta]]=13,Tabela1[[#This Row],[Descrição Original]],P201))</f>
        <v>PATRIMONIO LIQUIDO</v>
      </c>
    </row>
    <row r="203" spans="1:16" x14ac:dyDescent="0.35">
      <c r="A203">
        <v>2021</v>
      </c>
      <c r="B203" t="s">
        <v>45</v>
      </c>
      <c r="C203" s="57" t="s">
        <v>571</v>
      </c>
      <c r="D203" s="49" t="s">
        <v>572</v>
      </c>
      <c r="E203" s="50">
        <v>505764.36</v>
      </c>
      <c r="F203" s="50">
        <v>0</v>
      </c>
      <c r="G203" s="50">
        <v>0</v>
      </c>
      <c r="H203" s="50">
        <f t="shared" si="11"/>
        <v>0</v>
      </c>
      <c r="I203" s="50">
        <v>505764.36</v>
      </c>
      <c r="J203" s="49" t="s">
        <v>57</v>
      </c>
      <c r="K203">
        <f t="shared" si="10"/>
        <v>17</v>
      </c>
      <c r="L203" t="str">
        <f>IF(Tabela1[[#This Row],[Tam Conta]]=17,VLOOKUP(Tabela1[[#This Row],[Conta]],Tabela!$A:$C,3,FALSE),"")</f>
        <v>RESULTADO DO EXERCICIO SUPERAVIT/DEFICIT</v>
      </c>
      <c r="M203" s="11">
        <f>VLOOKUP(Tabela1[[#This Row],[ANO]]&amp;Tabela1[[#This Row],[Meses]],Tabela!$O:$P,2,FALSE)</f>
        <v>44228</v>
      </c>
      <c r="N203" t="str">
        <f t="shared" si="9"/>
        <v>2.03.01.01.01</v>
      </c>
      <c r="O203" s="5">
        <f>IF(Tabela1[[#This Row],[Contas]]="","",IF(Tabela1[[#This Row],[Contas]]="1.01.01.03.01",Tabela1[[#This Row],[Valor Débito]],Tabela1[[#This Row],[Movimento]]))</f>
        <v>0</v>
      </c>
      <c r="P203" s="2" t="str">
        <f>IF(Tabela1[[#This Row],[Contas]]="","",IF(Tabela1[[#This Row],[Tam Conta]]=13,Tabela1[[#This Row],[Descrição Original]],P202))</f>
        <v>PATRIMONIO LIQUIDO</v>
      </c>
    </row>
    <row r="204" spans="1:16" x14ac:dyDescent="0.35">
      <c r="A204">
        <v>2021</v>
      </c>
      <c r="B204" t="s">
        <v>45</v>
      </c>
      <c r="C204" s="56">
        <v>3</v>
      </c>
      <c r="D204" s="49" t="s">
        <v>560</v>
      </c>
      <c r="E204" s="50">
        <v>337809.09</v>
      </c>
      <c r="F204" s="50">
        <v>0</v>
      </c>
      <c r="G204" s="50">
        <v>443536.22</v>
      </c>
      <c r="H204" s="50">
        <f t="shared" si="11"/>
        <v>-443536.22</v>
      </c>
      <c r="I204" s="50">
        <v>781345.31</v>
      </c>
      <c r="J204" s="49" t="s">
        <v>3257</v>
      </c>
      <c r="K204">
        <f t="shared" si="10"/>
        <v>1</v>
      </c>
      <c r="L204" t="str">
        <f>IF(Tabela1[[#This Row],[Tam Conta]]=17,VLOOKUP(Tabela1[[#This Row],[Conta]],Tabela!$A:$C,3,FALSE),"")</f>
        <v/>
      </c>
      <c r="M204" s="11">
        <f>VLOOKUP(Tabela1[[#This Row],[ANO]]&amp;Tabela1[[#This Row],[Meses]],Tabela!$O:$P,2,FALSE)</f>
        <v>44228</v>
      </c>
      <c r="N204" t="str">
        <f t="shared" si="9"/>
        <v/>
      </c>
      <c r="O204" s="5" t="str">
        <f>IF(Tabela1[[#This Row],[Contas]]="","",IF(Tabela1[[#This Row],[Contas]]="1.01.01.03.01",Tabela1[[#This Row],[Valor Débito]],Tabela1[[#This Row],[Movimento]]))</f>
        <v/>
      </c>
      <c r="P204" s="2" t="str">
        <f>IF(Tabela1[[#This Row],[Contas]]="","",IF(Tabela1[[#This Row],[Tam Conta]]=13,Tabela1[[#This Row],[Descrição Original]],P203))</f>
        <v/>
      </c>
    </row>
    <row r="205" spans="1:16" x14ac:dyDescent="0.35">
      <c r="A205">
        <v>2021</v>
      </c>
      <c r="B205" t="s">
        <v>45</v>
      </c>
      <c r="C205" s="57" t="s">
        <v>450</v>
      </c>
      <c r="D205" s="49" t="s">
        <v>451</v>
      </c>
      <c r="E205" s="50">
        <v>337809.09</v>
      </c>
      <c r="F205" s="50">
        <v>0</v>
      </c>
      <c r="G205" s="50">
        <v>443536.22</v>
      </c>
      <c r="H205" s="50">
        <f t="shared" si="11"/>
        <v>-443536.22</v>
      </c>
      <c r="I205" s="50">
        <v>781345.31</v>
      </c>
      <c r="J205" s="49" t="s">
        <v>3257</v>
      </c>
      <c r="K205">
        <f t="shared" si="10"/>
        <v>4</v>
      </c>
      <c r="L205" t="str">
        <f>IF(Tabela1[[#This Row],[Tam Conta]]=17,VLOOKUP(Tabela1[[#This Row],[Conta]],Tabela!$A:$C,3,FALSE),"")</f>
        <v/>
      </c>
      <c r="M205" s="11">
        <f>VLOOKUP(Tabela1[[#This Row],[ANO]]&amp;Tabela1[[#This Row],[Meses]],Tabela!$O:$P,2,FALSE)</f>
        <v>44228</v>
      </c>
      <c r="N205" t="str">
        <f t="shared" si="9"/>
        <v/>
      </c>
      <c r="O205" s="5" t="str">
        <f>IF(Tabela1[[#This Row],[Contas]]="","",IF(Tabela1[[#This Row],[Contas]]="1.01.01.03.01",Tabela1[[#This Row],[Valor Débito]],Tabela1[[#This Row],[Movimento]]))</f>
        <v/>
      </c>
      <c r="P205" s="2" t="str">
        <f>IF(Tabela1[[#This Row],[Contas]]="","",IF(Tabela1[[#This Row],[Tam Conta]]=13,Tabela1[[#This Row],[Descrição Original]],P204))</f>
        <v/>
      </c>
    </row>
    <row r="206" spans="1:16" x14ac:dyDescent="0.35">
      <c r="A206">
        <v>2021</v>
      </c>
      <c r="B206" t="s">
        <v>45</v>
      </c>
      <c r="C206" s="57" t="s">
        <v>452</v>
      </c>
      <c r="D206" s="49" t="s">
        <v>453</v>
      </c>
      <c r="E206" s="50">
        <v>337809.09</v>
      </c>
      <c r="F206" s="50">
        <v>0</v>
      </c>
      <c r="G206" s="50">
        <v>443536.22</v>
      </c>
      <c r="H206" s="50">
        <f t="shared" si="11"/>
        <v>-443536.22</v>
      </c>
      <c r="I206" s="50">
        <v>781345.31</v>
      </c>
      <c r="J206" s="49" t="s">
        <v>3257</v>
      </c>
      <c r="K206">
        <f t="shared" si="10"/>
        <v>7</v>
      </c>
      <c r="L206" t="str">
        <f>IF(Tabela1[[#This Row],[Tam Conta]]=17,VLOOKUP(Tabela1[[#This Row],[Conta]],Tabela!$A:$C,3,FALSE),"")</f>
        <v/>
      </c>
      <c r="M206" s="11">
        <f>VLOOKUP(Tabela1[[#This Row],[ANO]]&amp;Tabela1[[#This Row],[Meses]],Tabela!$O:$P,2,FALSE)</f>
        <v>44228</v>
      </c>
      <c r="N206" t="str">
        <f t="shared" si="9"/>
        <v/>
      </c>
      <c r="O206" s="5" t="str">
        <f>IF(Tabela1[[#This Row],[Contas]]="","",IF(Tabela1[[#This Row],[Contas]]="1.01.01.03.01",Tabela1[[#This Row],[Valor Débito]],Tabela1[[#This Row],[Movimento]]))</f>
        <v/>
      </c>
      <c r="P206" s="2" t="str">
        <f>IF(Tabela1[[#This Row],[Contas]]="","",IF(Tabela1[[#This Row],[Tam Conta]]=13,Tabela1[[#This Row],[Descrição Original]],P205))</f>
        <v/>
      </c>
    </row>
    <row r="207" spans="1:16" x14ac:dyDescent="0.35">
      <c r="A207">
        <v>2021</v>
      </c>
      <c r="B207" t="s">
        <v>45</v>
      </c>
      <c r="C207" s="57" t="s">
        <v>454</v>
      </c>
      <c r="D207" s="49" t="s">
        <v>455</v>
      </c>
      <c r="E207" s="50">
        <v>319195.96999999997</v>
      </c>
      <c r="F207" s="50">
        <v>0</v>
      </c>
      <c r="G207" s="50">
        <v>427234.67</v>
      </c>
      <c r="H207" s="50">
        <f t="shared" si="11"/>
        <v>-427234.67</v>
      </c>
      <c r="I207" s="50">
        <v>746430.64</v>
      </c>
      <c r="J207" s="49" t="s">
        <v>3257</v>
      </c>
      <c r="K207">
        <f t="shared" si="10"/>
        <v>10</v>
      </c>
      <c r="L207" t="str">
        <f>IF(Tabela1[[#This Row],[Tam Conta]]=17,VLOOKUP(Tabela1[[#This Row],[Conta]],Tabela!$A:$C,3,FALSE),"")</f>
        <v/>
      </c>
      <c r="M207" s="11">
        <f>VLOOKUP(Tabela1[[#This Row],[ANO]]&amp;Tabela1[[#This Row],[Meses]],Tabela!$O:$P,2,FALSE)</f>
        <v>44228</v>
      </c>
      <c r="N207" t="str">
        <f t="shared" si="9"/>
        <v/>
      </c>
      <c r="O207" s="5" t="str">
        <f>IF(Tabela1[[#This Row],[Contas]]="","",IF(Tabela1[[#This Row],[Contas]]="1.01.01.03.01",Tabela1[[#This Row],[Valor Débito]],Tabela1[[#This Row],[Movimento]]))</f>
        <v/>
      </c>
      <c r="P207" s="2" t="str">
        <f>IF(Tabela1[[#This Row],[Contas]]="","",IF(Tabela1[[#This Row],[Tam Conta]]=13,Tabela1[[#This Row],[Descrição Original]],P206))</f>
        <v/>
      </c>
    </row>
    <row r="208" spans="1:16" x14ac:dyDescent="0.35">
      <c r="A208">
        <v>2021</v>
      </c>
      <c r="B208" t="s">
        <v>45</v>
      </c>
      <c r="C208" s="57" t="s">
        <v>561</v>
      </c>
      <c r="D208" s="49" t="s">
        <v>562</v>
      </c>
      <c r="E208" s="50">
        <v>319195.96999999997</v>
      </c>
      <c r="F208" s="50">
        <v>0</v>
      </c>
      <c r="G208" s="50">
        <v>425737.15</v>
      </c>
      <c r="H208" s="50">
        <f t="shared" si="11"/>
        <v>-425737.15</v>
      </c>
      <c r="I208" s="50">
        <v>744933.12</v>
      </c>
      <c r="J208" s="49" t="s">
        <v>3257</v>
      </c>
      <c r="K208">
        <f t="shared" si="10"/>
        <v>13</v>
      </c>
      <c r="L208" t="str">
        <f>IF(Tabela1[[#This Row],[Tam Conta]]=17,VLOOKUP(Tabela1[[#This Row],[Conta]],Tabela!$A:$C,3,FALSE),"")</f>
        <v/>
      </c>
      <c r="M208" s="11">
        <f>VLOOKUP(Tabela1[[#This Row],[ANO]]&amp;Tabela1[[#This Row],[Meses]],Tabela!$O:$P,2,FALSE)</f>
        <v>44228</v>
      </c>
      <c r="N208" t="str">
        <f t="shared" si="9"/>
        <v>3.01.01.05.03</v>
      </c>
      <c r="O208" s="5">
        <f>IF(Tabela1[[#This Row],[Contas]]="","",IF(Tabela1[[#This Row],[Contas]]="1.01.01.03.01",Tabela1[[#This Row],[Valor Débito]],Tabela1[[#This Row],[Movimento]]))</f>
        <v>-425737.15</v>
      </c>
      <c r="P208" s="2" t="str">
        <f>IF(Tabela1[[#This Row],[Contas]]="","",IF(Tabela1[[#This Row],[Tam Conta]]=13,Tabela1[[#This Row],[Descrição Original]],P207))</f>
        <v>RECEITAS COM SUBVENCOES</v>
      </c>
    </row>
    <row r="209" spans="1:16" x14ac:dyDescent="0.35">
      <c r="A209">
        <v>2021</v>
      </c>
      <c r="B209" t="s">
        <v>45</v>
      </c>
      <c r="C209" s="57" t="s">
        <v>563</v>
      </c>
      <c r="D209" s="49" t="s">
        <v>564</v>
      </c>
      <c r="E209" s="50">
        <v>319195.96999999997</v>
      </c>
      <c r="F209" s="50">
        <v>0</v>
      </c>
      <c r="G209" s="50">
        <v>425737.15</v>
      </c>
      <c r="H209" s="50">
        <f t="shared" si="11"/>
        <v>-425737.15</v>
      </c>
      <c r="I209" s="50">
        <v>744933.12</v>
      </c>
      <c r="J209" s="49" t="s">
        <v>3257</v>
      </c>
      <c r="K209">
        <f t="shared" si="10"/>
        <v>17</v>
      </c>
      <c r="L209" t="str">
        <f>IF(Tabela1[[#This Row],[Tam Conta]]=17,VLOOKUP(Tabela1[[#This Row],[Conta]],Tabela!$A:$C,3,FALSE),"")</f>
        <v>ESTADUAL</v>
      </c>
      <c r="M209" s="11">
        <f>VLOOKUP(Tabela1[[#This Row],[ANO]]&amp;Tabela1[[#This Row],[Meses]],Tabela!$O:$P,2,FALSE)</f>
        <v>44228</v>
      </c>
      <c r="N209" t="str">
        <f t="shared" si="9"/>
        <v>3.01.01.05.03</v>
      </c>
      <c r="O209" s="5">
        <f>IF(Tabela1[[#This Row],[Contas]]="","",IF(Tabela1[[#This Row],[Contas]]="1.01.01.03.01",Tabela1[[#This Row],[Valor Débito]],Tabela1[[#This Row],[Movimento]]))</f>
        <v>-425737.15</v>
      </c>
      <c r="P209" s="2" t="str">
        <f>IF(Tabela1[[#This Row],[Contas]]="","",IF(Tabela1[[#This Row],[Tam Conta]]=13,Tabela1[[#This Row],[Descrição Original]],P208))</f>
        <v>RECEITAS COM SUBVENCOES</v>
      </c>
    </row>
    <row r="210" spans="1:16" x14ac:dyDescent="0.35">
      <c r="A210">
        <v>2021</v>
      </c>
      <c r="B210" t="s">
        <v>45</v>
      </c>
      <c r="C210" s="57" t="s">
        <v>470</v>
      </c>
      <c r="D210" s="49" t="s">
        <v>471</v>
      </c>
      <c r="E210" s="50">
        <v>0</v>
      </c>
      <c r="F210" s="50">
        <v>0</v>
      </c>
      <c r="G210" s="50">
        <v>1497.52</v>
      </c>
      <c r="H210" s="50">
        <f t="shared" si="11"/>
        <v>-1497.52</v>
      </c>
      <c r="I210" s="50">
        <v>1497.52</v>
      </c>
      <c r="J210" s="49" t="s">
        <v>3257</v>
      </c>
      <c r="K210">
        <f t="shared" si="10"/>
        <v>13</v>
      </c>
      <c r="L210" t="str">
        <f>IF(Tabela1[[#This Row],[Tam Conta]]=17,VLOOKUP(Tabela1[[#This Row],[Conta]],Tabela!$A:$C,3,FALSE),"")</f>
        <v/>
      </c>
      <c r="M210" s="11">
        <f>VLOOKUP(Tabela1[[#This Row],[ANO]]&amp;Tabela1[[#This Row],[Meses]],Tabela!$O:$P,2,FALSE)</f>
        <v>44228</v>
      </c>
      <c r="N210" t="str">
        <f t="shared" si="9"/>
        <v>3.01.01.05.05</v>
      </c>
      <c r="O210" s="5">
        <f>IF(Tabela1[[#This Row],[Contas]]="","",IF(Tabela1[[#This Row],[Contas]]="1.01.01.03.01",Tabela1[[#This Row],[Valor Débito]],Tabela1[[#This Row],[Movimento]]))</f>
        <v>-1497.52</v>
      </c>
      <c r="P210" s="2" t="str">
        <f>IF(Tabela1[[#This Row],[Contas]]="","",IF(Tabela1[[#This Row],[Tam Conta]]=13,Tabela1[[#This Row],[Descrição Original]],P209))</f>
        <v>RECEITAS DIVERSAS</v>
      </c>
    </row>
    <row r="211" spans="1:16" x14ac:dyDescent="0.35">
      <c r="A211">
        <v>2021</v>
      </c>
      <c r="B211" t="s">
        <v>45</v>
      </c>
      <c r="C211" s="57" t="s">
        <v>472</v>
      </c>
      <c r="D211" s="49" t="s">
        <v>473</v>
      </c>
      <c r="E211" s="50">
        <v>0</v>
      </c>
      <c r="F211" s="50">
        <v>0</v>
      </c>
      <c r="G211" s="50">
        <v>1497.52</v>
      </c>
      <c r="H211" s="50">
        <f t="shared" si="11"/>
        <v>-1497.52</v>
      </c>
      <c r="I211" s="50">
        <v>1497.52</v>
      </c>
      <c r="J211" s="49" t="s">
        <v>3257</v>
      </c>
      <c r="K211">
        <f t="shared" si="10"/>
        <v>17</v>
      </c>
      <c r="L211" t="str">
        <f>IF(Tabela1[[#This Row],[Tam Conta]]=17,VLOOKUP(Tabela1[[#This Row],[Conta]],Tabela!$A:$C,3,FALSE),"")</f>
        <v>RECUPERACAO DE DESP. C/ PESSOAL</v>
      </c>
      <c r="M211" s="11">
        <f>VLOOKUP(Tabela1[[#This Row],[ANO]]&amp;Tabela1[[#This Row],[Meses]],Tabela!$O:$P,2,FALSE)</f>
        <v>44228</v>
      </c>
      <c r="N211" t="str">
        <f t="shared" si="9"/>
        <v>3.01.01.05.05</v>
      </c>
      <c r="O211" s="5">
        <f>IF(Tabela1[[#This Row],[Contas]]="","",IF(Tabela1[[#This Row],[Contas]]="1.01.01.03.01",Tabela1[[#This Row],[Valor Débito]],Tabela1[[#This Row],[Movimento]]))</f>
        <v>-1497.52</v>
      </c>
      <c r="P211" s="2" t="str">
        <f>IF(Tabela1[[#This Row],[Contas]]="","",IF(Tabela1[[#This Row],[Tam Conta]]=13,Tabela1[[#This Row],[Descrição Original]],P210))</f>
        <v>RECEITAS DIVERSAS</v>
      </c>
    </row>
    <row r="212" spans="1:16" x14ac:dyDescent="0.35">
      <c r="A212">
        <v>2021</v>
      </c>
      <c r="B212" t="s">
        <v>45</v>
      </c>
      <c r="C212" s="57" t="s">
        <v>475</v>
      </c>
      <c r="D212" s="49" t="s">
        <v>476</v>
      </c>
      <c r="E212" s="50">
        <v>18613.12</v>
      </c>
      <c r="F212" s="50">
        <v>0</v>
      </c>
      <c r="G212" s="50">
        <v>16301.55</v>
      </c>
      <c r="H212" s="50">
        <f t="shared" si="11"/>
        <v>-16301.55</v>
      </c>
      <c r="I212" s="50">
        <v>34914.67</v>
      </c>
      <c r="J212" s="49" t="s">
        <v>3257</v>
      </c>
      <c r="K212">
        <f t="shared" si="10"/>
        <v>10</v>
      </c>
      <c r="L212" t="str">
        <f>IF(Tabela1[[#This Row],[Tam Conta]]=17,VLOOKUP(Tabela1[[#This Row],[Conta]],Tabela!$A:$C,3,FALSE),"")</f>
        <v/>
      </c>
      <c r="M212" s="11">
        <f>VLOOKUP(Tabela1[[#This Row],[ANO]]&amp;Tabela1[[#This Row],[Meses]],Tabela!$O:$P,2,FALSE)</f>
        <v>44228</v>
      </c>
      <c r="N212" t="str">
        <f t="shared" si="9"/>
        <v/>
      </c>
      <c r="O212" s="5" t="str">
        <f>IF(Tabela1[[#This Row],[Contas]]="","",IF(Tabela1[[#This Row],[Contas]]="1.01.01.03.01",Tabela1[[#This Row],[Valor Débito]],Tabela1[[#This Row],[Movimento]]))</f>
        <v/>
      </c>
      <c r="P212" s="2" t="str">
        <f>IF(Tabela1[[#This Row],[Contas]]="","",IF(Tabela1[[#This Row],[Tam Conta]]=13,Tabela1[[#This Row],[Descrição Original]],P211))</f>
        <v/>
      </c>
    </row>
    <row r="213" spans="1:16" x14ac:dyDescent="0.35">
      <c r="A213">
        <v>2021</v>
      </c>
      <c r="B213" t="s">
        <v>45</v>
      </c>
      <c r="C213" s="57" t="s">
        <v>477</v>
      </c>
      <c r="D213" s="49" t="s">
        <v>476</v>
      </c>
      <c r="E213" s="50">
        <v>18613.12</v>
      </c>
      <c r="F213" s="50">
        <v>0</v>
      </c>
      <c r="G213" s="50">
        <v>16301.55</v>
      </c>
      <c r="H213" s="50">
        <f t="shared" si="11"/>
        <v>-16301.55</v>
      </c>
      <c r="I213" s="50">
        <v>34914.67</v>
      </c>
      <c r="J213" s="49" t="s">
        <v>3257</v>
      </c>
      <c r="K213">
        <f t="shared" si="10"/>
        <v>13</v>
      </c>
      <c r="L213" t="str">
        <f>IF(Tabela1[[#This Row],[Tam Conta]]=17,VLOOKUP(Tabela1[[#This Row],[Conta]],Tabela!$A:$C,3,FALSE),"")</f>
        <v/>
      </c>
      <c r="M213" s="11">
        <f>VLOOKUP(Tabela1[[#This Row],[ANO]]&amp;Tabela1[[#This Row],[Meses]],Tabela!$O:$P,2,FALSE)</f>
        <v>44228</v>
      </c>
      <c r="N213" t="str">
        <f t="shared" si="9"/>
        <v>3.01.01.06.01</v>
      </c>
      <c r="O213" s="5">
        <f>IF(Tabela1[[#This Row],[Contas]]="","",IF(Tabela1[[#This Row],[Contas]]="1.01.01.03.01",Tabela1[[#This Row],[Valor Débito]],Tabela1[[#This Row],[Movimento]]))</f>
        <v>-16301.55</v>
      </c>
      <c r="P213" s="2" t="str">
        <f>IF(Tabela1[[#This Row],[Contas]]="","",IF(Tabela1[[#This Row],[Tam Conta]]=13,Tabela1[[#This Row],[Descrição Original]],P212))</f>
        <v>RECEITAS FINANCEIRAS</v>
      </c>
    </row>
    <row r="214" spans="1:16" x14ac:dyDescent="0.35">
      <c r="A214">
        <v>2021</v>
      </c>
      <c r="B214" t="s">
        <v>45</v>
      </c>
      <c r="C214" s="57" t="s">
        <v>480</v>
      </c>
      <c r="D214" s="49" t="s">
        <v>481</v>
      </c>
      <c r="E214" s="50">
        <v>18613.12</v>
      </c>
      <c r="F214" s="50">
        <v>0</v>
      </c>
      <c r="G214" s="50">
        <v>16301.55</v>
      </c>
      <c r="H214" s="50">
        <f t="shared" si="11"/>
        <v>-16301.55</v>
      </c>
      <c r="I214" s="50">
        <v>34914.67</v>
      </c>
      <c r="J214" s="49" t="s">
        <v>3257</v>
      </c>
      <c r="K214">
        <f t="shared" si="10"/>
        <v>17</v>
      </c>
      <c r="L214" t="str">
        <f>IF(Tabela1[[#This Row],[Tam Conta]]=17,VLOOKUP(Tabela1[[#This Row],[Conta]],Tabela!$A:$C,3,FALSE),"")</f>
        <v>RENDIM. APLICACOES FINANCEIRAS</v>
      </c>
      <c r="M214" s="11">
        <f>VLOOKUP(Tabela1[[#This Row],[ANO]]&amp;Tabela1[[#This Row],[Meses]],Tabela!$O:$P,2,FALSE)</f>
        <v>44228</v>
      </c>
      <c r="N214" t="str">
        <f t="shared" si="9"/>
        <v>3.01.01.06.01</v>
      </c>
      <c r="O214" s="5">
        <f>IF(Tabela1[[#This Row],[Contas]]="","",IF(Tabela1[[#This Row],[Contas]]="1.01.01.03.01",Tabela1[[#This Row],[Valor Débito]],Tabela1[[#This Row],[Movimento]]))</f>
        <v>-16301.55</v>
      </c>
      <c r="P214" s="2" t="str">
        <f>IF(Tabela1[[#This Row],[Contas]]="","",IF(Tabela1[[#This Row],[Tam Conta]]=13,Tabela1[[#This Row],[Descrição Original]],P213))</f>
        <v>RECEITAS FINANCEIRAS</v>
      </c>
    </row>
    <row r="215" spans="1:16" x14ac:dyDescent="0.35">
      <c r="A215">
        <v>2021</v>
      </c>
      <c r="B215" t="s">
        <v>45</v>
      </c>
      <c r="C215" s="56">
        <v>4</v>
      </c>
      <c r="D215" s="49" t="s">
        <v>56</v>
      </c>
      <c r="E215" s="50">
        <v>393133.47</v>
      </c>
      <c r="F215" s="50">
        <v>481529.38</v>
      </c>
      <c r="G215" s="50">
        <v>251.97</v>
      </c>
      <c r="H215" s="50">
        <f t="shared" si="11"/>
        <v>481277.41000000003</v>
      </c>
      <c r="I215" s="50">
        <v>874410.88</v>
      </c>
      <c r="J215" s="49" t="s">
        <v>57</v>
      </c>
      <c r="K215">
        <f t="shared" si="10"/>
        <v>1</v>
      </c>
      <c r="L215" t="str">
        <f>IF(Tabela1[[#This Row],[Tam Conta]]=17,VLOOKUP(Tabela1[[#This Row],[Conta]],Tabela!$A:$C,3,FALSE),"")</f>
        <v/>
      </c>
      <c r="M215" s="11">
        <f>VLOOKUP(Tabela1[[#This Row],[ANO]]&amp;Tabela1[[#This Row],[Meses]],Tabela!$O:$P,2,FALSE)</f>
        <v>44228</v>
      </c>
      <c r="N215" t="str">
        <f t="shared" si="9"/>
        <v/>
      </c>
      <c r="O215" s="5" t="str">
        <f>IF(Tabela1[[#This Row],[Contas]]="","",IF(Tabela1[[#This Row],[Contas]]="1.01.01.03.01",Tabela1[[#This Row],[Valor Débito]],Tabela1[[#This Row],[Movimento]]))</f>
        <v/>
      </c>
      <c r="P215" s="2" t="str">
        <f>IF(Tabela1[[#This Row],[Contas]]="","",IF(Tabela1[[#This Row],[Tam Conta]]=13,Tabela1[[#This Row],[Descrição Original]],P214))</f>
        <v/>
      </c>
    </row>
    <row r="216" spans="1:16" x14ac:dyDescent="0.35">
      <c r="A216">
        <v>2021</v>
      </c>
      <c r="B216" t="s">
        <v>45</v>
      </c>
      <c r="C216" s="57" t="s">
        <v>58</v>
      </c>
      <c r="D216" s="49" t="s">
        <v>59</v>
      </c>
      <c r="E216" s="50">
        <v>393133.47</v>
      </c>
      <c r="F216" s="50">
        <v>481529.38</v>
      </c>
      <c r="G216" s="50">
        <v>251.97</v>
      </c>
      <c r="H216" s="50">
        <f t="shared" si="11"/>
        <v>481277.41000000003</v>
      </c>
      <c r="I216" s="50">
        <v>874410.88</v>
      </c>
      <c r="J216" s="49" t="s">
        <v>57</v>
      </c>
      <c r="K216">
        <f t="shared" si="10"/>
        <v>4</v>
      </c>
      <c r="L216" t="str">
        <f>IF(Tabela1[[#This Row],[Tam Conta]]=17,VLOOKUP(Tabela1[[#This Row],[Conta]],Tabela!$A:$C,3,FALSE),"")</f>
        <v/>
      </c>
      <c r="M216" s="11">
        <f>VLOOKUP(Tabela1[[#This Row],[ANO]]&amp;Tabela1[[#This Row],[Meses]],Tabela!$O:$P,2,FALSE)</f>
        <v>44228</v>
      </c>
      <c r="N216" t="str">
        <f t="shared" si="9"/>
        <v/>
      </c>
      <c r="O216" s="5" t="str">
        <f>IF(Tabela1[[#This Row],[Contas]]="","",IF(Tabela1[[#This Row],[Contas]]="1.01.01.03.01",Tabela1[[#This Row],[Valor Débito]],Tabela1[[#This Row],[Movimento]]))</f>
        <v/>
      </c>
      <c r="P216" s="2" t="str">
        <f>IF(Tabela1[[#This Row],[Contas]]="","",IF(Tabela1[[#This Row],[Tam Conta]]=13,Tabela1[[#This Row],[Descrição Original]],P215))</f>
        <v/>
      </c>
    </row>
    <row r="217" spans="1:16" x14ac:dyDescent="0.35">
      <c r="A217">
        <v>2021</v>
      </c>
      <c r="B217" t="s">
        <v>45</v>
      </c>
      <c r="C217" s="57" t="s">
        <v>60</v>
      </c>
      <c r="D217" s="49" t="s">
        <v>61</v>
      </c>
      <c r="E217" s="50">
        <v>393133.47</v>
      </c>
      <c r="F217" s="50">
        <v>481529.38</v>
      </c>
      <c r="G217" s="50">
        <v>251.97</v>
      </c>
      <c r="H217" s="50">
        <f t="shared" si="11"/>
        <v>481277.41000000003</v>
      </c>
      <c r="I217" s="50">
        <v>874410.88</v>
      </c>
      <c r="J217" s="49" t="s">
        <v>57</v>
      </c>
      <c r="K217">
        <f t="shared" si="10"/>
        <v>7</v>
      </c>
      <c r="L217" t="str">
        <f>IF(Tabela1[[#This Row],[Tam Conta]]=17,VLOOKUP(Tabela1[[#This Row],[Conta]],Tabela!$A:$C,3,FALSE),"")</f>
        <v/>
      </c>
      <c r="M217" s="11">
        <f>VLOOKUP(Tabela1[[#This Row],[ANO]]&amp;Tabela1[[#This Row],[Meses]],Tabela!$O:$P,2,FALSE)</f>
        <v>44228</v>
      </c>
      <c r="N217" t="str">
        <f t="shared" si="9"/>
        <v/>
      </c>
      <c r="O217" s="5" t="str">
        <f>IF(Tabela1[[#This Row],[Contas]]="","",IF(Tabela1[[#This Row],[Contas]]="1.01.01.03.01",Tabela1[[#This Row],[Valor Débito]],Tabela1[[#This Row],[Movimento]]))</f>
        <v/>
      </c>
      <c r="P217" s="2" t="str">
        <f>IF(Tabela1[[#This Row],[Contas]]="","",IF(Tabela1[[#This Row],[Tam Conta]]=13,Tabela1[[#This Row],[Descrição Original]],P216))</f>
        <v/>
      </c>
    </row>
    <row r="218" spans="1:16" x14ac:dyDescent="0.35">
      <c r="A218">
        <v>2021</v>
      </c>
      <c r="B218" t="s">
        <v>45</v>
      </c>
      <c r="C218" s="57" t="s">
        <v>62</v>
      </c>
      <c r="D218" s="49" t="s">
        <v>63</v>
      </c>
      <c r="E218" s="50">
        <v>393133.47</v>
      </c>
      <c r="F218" s="50">
        <v>481529.38</v>
      </c>
      <c r="G218" s="50">
        <v>251.97</v>
      </c>
      <c r="H218" s="50">
        <f t="shared" si="11"/>
        <v>481277.41000000003</v>
      </c>
      <c r="I218" s="50">
        <v>874410.88</v>
      </c>
      <c r="J218" s="49" t="s">
        <v>57</v>
      </c>
      <c r="K218">
        <f t="shared" si="10"/>
        <v>10</v>
      </c>
      <c r="L218" t="str">
        <f>IF(Tabela1[[#This Row],[Tam Conta]]=17,VLOOKUP(Tabela1[[#This Row],[Conta]],Tabela!$A:$C,3,FALSE),"")</f>
        <v/>
      </c>
      <c r="M218" s="11">
        <f>VLOOKUP(Tabela1[[#This Row],[ANO]]&amp;Tabela1[[#This Row],[Meses]],Tabela!$O:$P,2,FALSE)</f>
        <v>44228</v>
      </c>
      <c r="N218" t="str">
        <f t="shared" si="9"/>
        <v/>
      </c>
      <c r="O218" s="5" t="str">
        <f>IF(Tabela1[[#This Row],[Contas]]="","",IF(Tabela1[[#This Row],[Contas]]="1.01.01.03.01",Tabela1[[#This Row],[Valor Débito]],Tabela1[[#This Row],[Movimento]]))</f>
        <v/>
      </c>
      <c r="P218" s="2" t="str">
        <f>IF(Tabela1[[#This Row],[Contas]]="","",IF(Tabela1[[#This Row],[Tam Conta]]=13,Tabela1[[#This Row],[Descrição Original]],P217))</f>
        <v/>
      </c>
    </row>
    <row r="219" spans="1:16" x14ac:dyDescent="0.35">
      <c r="A219">
        <v>2021</v>
      </c>
      <c r="B219" t="s">
        <v>45</v>
      </c>
      <c r="C219" s="57" t="s">
        <v>64</v>
      </c>
      <c r="D219" s="49" t="s">
        <v>65</v>
      </c>
      <c r="E219" s="50">
        <v>317131.58</v>
      </c>
      <c r="F219" s="50">
        <v>319994.11</v>
      </c>
      <c r="G219" s="50">
        <v>0</v>
      </c>
      <c r="H219" s="50">
        <f t="shared" si="11"/>
        <v>319994.11</v>
      </c>
      <c r="I219" s="50">
        <v>637125.68999999994</v>
      </c>
      <c r="J219" s="49" t="s">
        <v>57</v>
      </c>
      <c r="K219">
        <f t="shared" si="10"/>
        <v>13</v>
      </c>
      <c r="L219" t="str">
        <f>IF(Tabela1[[#This Row],[Tam Conta]]=17,VLOOKUP(Tabela1[[#This Row],[Conta]],Tabela!$A:$C,3,FALSE),"")</f>
        <v/>
      </c>
      <c r="M219" s="11">
        <f>VLOOKUP(Tabela1[[#This Row],[ANO]]&amp;Tabela1[[#This Row],[Meses]],Tabela!$O:$P,2,FALSE)</f>
        <v>44228</v>
      </c>
      <c r="N219" t="str">
        <f t="shared" si="9"/>
        <v>4.01.01.01.01</v>
      </c>
      <c r="O219" s="5">
        <f>IF(Tabela1[[#This Row],[Contas]]="","",IF(Tabela1[[#This Row],[Contas]]="1.01.01.03.01",Tabela1[[#This Row],[Valor Débito]],Tabela1[[#This Row],[Movimento]]))</f>
        <v>319994.11</v>
      </c>
      <c r="P219" s="2" t="str">
        <f>IF(Tabela1[[#This Row],[Contas]]="","",IF(Tabela1[[#This Row],[Tam Conta]]=13,Tabela1[[#This Row],[Descrição Original]],P218))</f>
        <v>PESSOAL SERV. PROPRIOS</v>
      </c>
    </row>
    <row r="220" spans="1:16" x14ac:dyDescent="0.35">
      <c r="A220">
        <v>2021</v>
      </c>
      <c r="B220" t="s">
        <v>45</v>
      </c>
      <c r="C220" s="57" t="s">
        <v>66</v>
      </c>
      <c r="D220" s="49" t="s">
        <v>15</v>
      </c>
      <c r="E220" s="50">
        <v>216359.83</v>
      </c>
      <c r="F220" s="50">
        <v>217019.51</v>
      </c>
      <c r="G220" s="50">
        <v>0</v>
      </c>
      <c r="H220" s="50">
        <f t="shared" si="11"/>
        <v>217019.51</v>
      </c>
      <c r="I220" s="50">
        <v>433379.34</v>
      </c>
      <c r="J220" s="49" t="s">
        <v>57</v>
      </c>
      <c r="K220">
        <f t="shared" si="10"/>
        <v>17</v>
      </c>
      <c r="L220" t="str">
        <f>IF(Tabela1[[#This Row],[Tam Conta]]=17,VLOOKUP(Tabela1[[#This Row],[Conta]],Tabela!$A:$C,3,FALSE),"")</f>
        <v>ORDENADOS</v>
      </c>
      <c r="M220" s="11">
        <f>VLOOKUP(Tabela1[[#This Row],[ANO]]&amp;Tabela1[[#This Row],[Meses]],Tabela!$O:$P,2,FALSE)</f>
        <v>44228</v>
      </c>
      <c r="N220" t="str">
        <f t="shared" si="9"/>
        <v>4.01.01.01.01</v>
      </c>
      <c r="O220" s="5">
        <f>IF(Tabela1[[#This Row],[Contas]]="","",IF(Tabela1[[#This Row],[Contas]]="1.01.01.03.01",Tabela1[[#This Row],[Valor Débito]],Tabela1[[#This Row],[Movimento]]))</f>
        <v>217019.51</v>
      </c>
      <c r="P220" s="2" t="str">
        <f>IF(Tabela1[[#This Row],[Contas]]="","",IF(Tabela1[[#This Row],[Tam Conta]]=13,Tabela1[[#This Row],[Descrição Original]],P219))</f>
        <v>PESSOAL SERV. PROPRIOS</v>
      </c>
    </row>
    <row r="221" spans="1:16" x14ac:dyDescent="0.35">
      <c r="A221">
        <v>2021</v>
      </c>
      <c r="B221" t="s">
        <v>45</v>
      </c>
      <c r="C221" s="57" t="s">
        <v>70</v>
      </c>
      <c r="D221" s="49" t="s">
        <v>11</v>
      </c>
      <c r="E221" s="50">
        <v>17308.78</v>
      </c>
      <c r="F221" s="50">
        <v>17361.349999999999</v>
      </c>
      <c r="G221" s="50">
        <v>0</v>
      </c>
      <c r="H221" s="50">
        <f t="shared" si="11"/>
        <v>17361.349999999999</v>
      </c>
      <c r="I221" s="50">
        <v>34670.129999999997</v>
      </c>
      <c r="J221" s="49" t="s">
        <v>57</v>
      </c>
      <c r="K221">
        <f t="shared" si="10"/>
        <v>17</v>
      </c>
      <c r="L221" t="str">
        <f>IF(Tabela1[[#This Row],[Tam Conta]]=17,VLOOKUP(Tabela1[[#This Row],[Conta]],Tabela!$A:$C,3,FALSE),"")</f>
        <v>CONTRIBUICOES AO FGTS</v>
      </c>
      <c r="M221" s="11">
        <f>VLOOKUP(Tabela1[[#This Row],[ANO]]&amp;Tabela1[[#This Row],[Meses]],Tabela!$O:$P,2,FALSE)</f>
        <v>44228</v>
      </c>
      <c r="N221" t="str">
        <f t="shared" si="9"/>
        <v>4.01.01.01.01</v>
      </c>
      <c r="O221" s="5">
        <f>IF(Tabela1[[#This Row],[Contas]]="","",IF(Tabela1[[#This Row],[Contas]]="1.01.01.03.01",Tabela1[[#This Row],[Valor Débito]],Tabela1[[#This Row],[Movimento]]))</f>
        <v>17361.349999999999</v>
      </c>
      <c r="P221" s="2" t="str">
        <f>IF(Tabela1[[#This Row],[Contas]]="","",IF(Tabela1[[#This Row],[Tam Conta]]=13,Tabela1[[#This Row],[Descrição Original]],P220))</f>
        <v>PESSOAL SERV. PROPRIOS</v>
      </c>
    </row>
    <row r="222" spans="1:16" x14ac:dyDescent="0.35">
      <c r="A222">
        <v>2021</v>
      </c>
      <c r="B222" t="s">
        <v>45</v>
      </c>
      <c r="C222" s="57" t="s">
        <v>71</v>
      </c>
      <c r="D222" s="49" t="s">
        <v>12</v>
      </c>
      <c r="E222" s="50">
        <v>2163.5700000000002</v>
      </c>
      <c r="F222" s="50">
        <v>2170.15</v>
      </c>
      <c r="G222" s="50">
        <v>0</v>
      </c>
      <c r="H222" s="50">
        <f t="shared" si="11"/>
        <v>2170.15</v>
      </c>
      <c r="I222" s="50">
        <v>4333.72</v>
      </c>
      <c r="J222" s="49" t="s">
        <v>57</v>
      </c>
      <c r="K222">
        <f t="shared" si="10"/>
        <v>17</v>
      </c>
      <c r="L222" t="str">
        <f>IF(Tabela1[[#This Row],[Tam Conta]]=17,VLOOKUP(Tabela1[[#This Row],[Conta]],Tabela!$A:$C,3,FALSE),"")</f>
        <v>CONTRIBUICOES AO PIS</v>
      </c>
      <c r="M222" s="11">
        <f>VLOOKUP(Tabela1[[#This Row],[ANO]]&amp;Tabela1[[#This Row],[Meses]],Tabela!$O:$P,2,FALSE)</f>
        <v>44228</v>
      </c>
      <c r="N222" t="str">
        <f t="shared" si="9"/>
        <v>4.01.01.01.01</v>
      </c>
      <c r="O222" s="5">
        <f>IF(Tabela1[[#This Row],[Contas]]="","",IF(Tabela1[[#This Row],[Contas]]="1.01.01.03.01",Tabela1[[#This Row],[Valor Débito]],Tabela1[[#This Row],[Movimento]]))</f>
        <v>2170.15</v>
      </c>
      <c r="P222" s="2" t="str">
        <f>IF(Tabela1[[#This Row],[Contas]]="","",IF(Tabela1[[#This Row],[Tam Conta]]=13,Tabela1[[#This Row],[Descrição Original]],P221))</f>
        <v>PESSOAL SERV. PROPRIOS</v>
      </c>
    </row>
    <row r="223" spans="1:16" x14ac:dyDescent="0.35">
      <c r="A223">
        <v>2021</v>
      </c>
      <c r="B223" t="s">
        <v>45</v>
      </c>
      <c r="C223" s="57" t="s">
        <v>72</v>
      </c>
      <c r="D223" s="49" t="s">
        <v>18</v>
      </c>
      <c r="E223" s="50">
        <v>408</v>
      </c>
      <c r="F223" s="50">
        <v>144</v>
      </c>
      <c r="G223" s="50">
        <v>0</v>
      </c>
      <c r="H223" s="50">
        <f t="shared" si="11"/>
        <v>144</v>
      </c>
      <c r="I223" s="50">
        <v>552</v>
      </c>
      <c r="J223" s="49" t="s">
        <v>57</v>
      </c>
      <c r="K223">
        <f t="shared" si="10"/>
        <v>17</v>
      </c>
      <c r="L223" t="str">
        <f>IF(Tabela1[[#This Row],[Tam Conta]]=17,VLOOKUP(Tabela1[[#This Row],[Conta]],Tabela!$A:$C,3,FALSE),"")</f>
        <v>VALE TRANSPORTE</v>
      </c>
      <c r="M223" s="11">
        <f>VLOOKUP(Tabela1[[#This Row],[ANO]]&amp;Tabela1[[#This Row],[Meses]],Tabela!$O:$P,2,FALSE)</f>
        <v>44228</v>
      </c>
      <c r="N223" t="str">
        <f t="shared" si="9"/>
        <v>4.01.01.01.01</v>
      </c>
      <c r="O223" s="5">
        <f>IF(Tabela1[[#This Row],[Contas]]="","",IF(Tabela1[[#This Row],[Contas]]="1.01.01.03.01",Tabela1[[#This Row],[Valor Débito]],Tabela1[[#This Row],[Movimento]]))</f>
        <v>144</v>
      </c>
      <c r="P223" s="2" t="str">
        <f>IF(Tabela1[[#This Row],[Contas]]="","",IF(Tabela1[[#This Row],[Tam Conta]]=13,Tabela1[[#This Row],[Descrição Original]],P222))</f>
        <v>PESSOAL SERV. PROPRIOS</v>
      </c>
    </row>
    <row r="224" spans="1:16" x14ac:dyDescent="0.35">
      <c r="A224">
        <v>2021</v>
      </c>
      <c r="B224" t="s">
        <v>45</v>
      </c>
      <c r="C224" s="57" t="s">
        <v>73</v>
      </c>
      <c r="D224" s="49" t="s">
        <v>10</v>
      </c>
      <c r="E224" s="50">
        <v>43271.99</v>
      </c>
      <c r="F224" s="50">
        <v>43403.92</v>
      </c>
      <c r="G224" s="50">
        <v>0</v>
      </c>
      <c r="H224" s="50">
        <f t="shared" si="11"/>
        <v>43403.92</v>
      </c>
      <c r="I224" s="50">
        <v>86675.91</v>
      </c>
      <c r="J224" s="49" t="s">
        <v>57</v>
      </c>
      <c r="K224">
        <f t="shared" si="10"/>
        <v>17</v>
      </c>
      <c r="L224" t="str">
        <f>IF(Tabela1[[#This Row],[Tam Conta]]=17,VLOOKUP(Tabela1[[#This Row],[Conta]],Tabela!$A:$C,3,FALSE),"")</f>
        <v>CONTRIBUICAO PATRONAL - INSS</v>
      </c>
      <c r="M224" s="11">
        <f>VLOOKUP(Tabela1[[#This Row],[ANO]]&amp;Tabela1[[#This Row],[Meses]],Tabela!$O:$P,2,FALSE)</f>
        <v>44228</v>
      </c>
      <c r="N224" t="str">
        <f t="shared" si="9"/>
        <v>4.01.01.01.01</v>
      </c>
      <c r="O224" s="5">
        <f>IF(Tabela1[[#This Row],[Contas]]="","",IF(Tabela1[[#This Row],[Contas]]="1.01.01.03.01",Tabela1[[#This Row],[Valor Débito]],Tabela1[[#This Row],[Movimento]]))</f>
        <v>43403.92</v>
      </c>
      <c r="P224" s="2" t="str">
        <f>IF(Tabela1[[#This Row],[Contas]]="","",IF(Tabela1[[#This Row],[Tam Conta]]=13,Tabela1[[#This Row],[Descrição Original]],P223))</f>
        <v>PESSOAL SERV. PROPRIOS</v>
      </c>
    </row>
    <row r="225" spans="1:16" x14ac:dyDescent="0.35">
      <c r="A225">
        <v>2021</v>
      </c>
      <c r="B225" t="s">
        <v>45</v>
      </c>
      <c r="C225" s="57" t="s">
        <v>74</v>
      </c>
      <c r="D225" s="49" t="s">
        <v>14</v>
      </c>
      <c r="E225" s="50">
        <v>11723.41</v>
      </c>
      <c r="F225" s="50">
        <v>13347.71</v>
      </c>
      <c r="G225" s="50">
        <v>0</v>
      </c>
      <c r="H225" s="50">
        <f t="shared" si="11"/>
        <v>13347.71</v>
      </c>
      <c r="I225" s="50">
        <v>25071.119999999999</v>
      </c>
      <c r="J225" s="49" t="s">
        <v>57</v>
      </c>
      <c r="K225">
        <f t="shared" si="10"/>
        <v>17</v>
      </c>
      <c r="L225" t="str">
        <f>IF(Tabela1[[#This Row],[Tam Conta]]=17,VLOOKUP(Tabela1[[#This Row],[Conta]],Tabela!$A:$C,3,FALSE),"")</f>
        <v>GRATIFICACOES</v>
      </c>
      <c r="M225" s="11">
        <f>VLOOKUP(Tabela1[[#This Row],[ANO]]&amp;Tabela1[[#This Row],[Meses]],Tabela!$O:$P,2,FALSE)</f>
        <v>44228</v>
      </c>
      <c r="N225" t="str">
        <f t="shared" si="9"/>
        <v>4.01.01.01.01</v>
      </c>
      <c r="O225" s="5">
        <f>IF(Tabela1[[#This Row],[Contas]]="","",IF(Tabela1[[#This Row],[Contas]]="1.01.01.03.01",Tabela1[[#This Row],[Valor Débito]],Tabela1[[#This Row],[Movimento]]))</f>
        <v>13347.71</v>
      </c>
      <c r="P225" s="2" t="str">
        <f>IF(Tabela1[[#This Row],[Contas]]="","",IF(Tabela1[[#This Row],[Tam Conta]]=13,Tabela1[[#This Row],[Descrição Original]],P224))</f>
        <v>PESSOAL SERV. PROPRIOS</v>
      </c>
    </row>
    <row r="226" spans="1:16" x14ac:dyDescent="0.35">
      <c r="A226">
        <v>2021</v>
      </c>
      <c r="B226" t="s">
        <v>45</v>
      </c>
      <c r="C226" s="57" t="s">
        <v>75</v>
      </c>
      <c r="D226" s="49" t="s">
        <v>16</v>
      </c>
      <c r="E226" s="50">
        <v>4327.18</v>
      </c>
      <c r="F226" s="50">
        <v>4340.38</v>
      </c>
      <c r="G226" s="50">
        <v>0</v>
      </c>
      <c r="H226" s="50">
        <f t="shared" si="11"/>
        <v>4340.38</v>
      </c>
      <c r="I226" s="50">
        <v>8667.56</v>
      </c>
      <c r="J226" s="49" t="s">
        <v>57</v>
      </c>
      <c r="K226">
        <f t="shared" si="10"/>
        <v>17</v>
      </c>
      <c r="L226" t="str">
        <f>IF(Tabela1[[#This Row],[Tam Conta]]=17,VLOOKUP(Tabela1[[#This Row],[Conta]],Tabela!$A:$C,3,FALSE),"")</f>
        <v>SEGURO ACIDENTE DE TRABALHO</v>
      </c>
      <c r="M226" s="11">
        <f>VLOOKUP(Tabela1[[#This Row],[ANO]]&amp;Tabela1[[#This Row],[Meses]],Tabela!$O:$P,2,FALSE)</f>
        <v>44228</v>
      </c>
      <c r="N226" t="str">
        <f t="shared" si="9"/>
        <v>4.01.01.01.01</v>
      </c>
      <c r="O226" s="5">
        <f>IF(Tabela1[[#This Row],[Contas]]="","",IF(Tabela1[[#This Row],[Contas]]="1.01.01.03.01",Tabela1[[#This Row],[Valor Débito]],Tabela1[[#This Row],[Movimento]]))</f>
        <v>4340.38</v>
      </c>
      <c r="P226" s="2" t="str">
        <f>IF(Tabela1[[#This Row],[Contas]]="","",IF(Tabela1[[#This Row],[Tam Conta]]=13,Tabela1[[#This Row],[Descrição Original]],P225))</f>
        <v>PESSOAL SERV. PROPRIOS</v>
      </c>
    </row>
    <row r="227" spans="1:16" x14ac:dyDescent="0.35">
      <c r="A227">
        <v>2021</v>
      </c>
      <c r="B227" t="s">
        <v>45</v>
      </c>
      <c r="C227" s="57" t="s">
        <v>76</v>
      </c>
      <c r="D227" s="49" t="s">
        <v>13</v>
      </c>
      <c r="E227" s="50">
        <v>12548.82</v>
      </c>
      <c r="F227" s="50">
        <v>12587.09</v>
      </c>
      <c r="G227" s="50">
        <v>0</v>
      </c>
      <c r="H227" s="50">
        <f t="shared" si="11"/>
        <v>12587.09</v>
      </c>
      <c r="I227" s="50">
        <v>25135.91</v>
      </c>
      <c r="J227" s="49" t="s">
        <v>57</v>
      </c>
      <c r="K227">
        <f t="shared" si="10"/>
        <v>17</v>
      </c>
      <c r="L227" t="str">
        <f>IF(Tabela1[[#This Row],[Tam Conta]]=17,VLOOKUP(Tabela1[[#This Row],[Conta]],Tabela!$A:$C,3,FALSE),"")</f>
        <v>COTA TERCEIROS ( SESC, SENAC, INCRA )</v>
      </c>
      <c r="M227" s="11">
        <f>VLOOKUP(Tabela1[[#This Row],[ANO]]&amp;Tabela1[[#This Row],[Meses]],Tabela!$O:$P,2,FALSE)</f>
        <v>44228</v>
      </c>
      <c r="N227" t="str">
        <f t="shared" ref="N227:N240" si="12">IF(K227&gt;=13,MID(C227,1,13),"")</f>
        <v>4.01.01.01.01</v>
      </c>
      <c r="O227" s="5">
        <f>IF(Tabela1[[#This Row],[Contas]]="","",IF(Tabela1[[#This Row],[Contas]]="1.01.01.03.01",Tabela1[[#This Row],[Valor Débito]],Tabela1[[#This Row],[Movimento]]))</f>
        <v>12587.09</v>
      </c>
      <c r="P227" s="2" t="str">
        <f>IF(Tabela1[[#This Row],[Contas]]="","",IF(Tabela1[[#This Row],[Tam Conta]]=13,Tabela1[[#This Row],[Descrição Original]],P226))</f>
        <v>PESSOAL SERV. PROPRIOS</v>
      </c>
    </row>
    <row r="228" spans="1:16" x14ac:dyDescent="0.35">
      <c r="A228">
        <v>2021</v>
      </c>
      <c r="B228" t="s">
        <v>45</v>
      </c>
      <c r="C228" s="57" t="s">
        <v>77</v>
      </c>
      <c r="D228" s="49" t="s">
        <v>17</v>
      </c>
      <c r="E228" s="50">
        <v>9020</v>
      </c>
      <c r="F228" s="50">
        <v>9620</v>
      </c>
      <c r="G228" s="50">
        <v>0</v>
      </c>
      <c r="H228" s="50">
        <f t="shared" si="11"/>
        <v>9620</v>
      </c>
      <c r="I228" s="50">
        <v>18640</v>
      </c>
      <c r="J228" s="49" t="s">
        <v>57</v>
      </c>
      <c r="K228">
        <f t="shared" ref="K228:K240" si="13">LEN(C228)</f>
        <v>17</v>
      </c>
      <c r="L228" t="str">
        <f>IF(Tabela1[[#This Row],[Tam Conta]]=17,VLOOKUP(Tabela1[[#This Row],[Conta]],Tabela!$A:$C,3,FALSE),"")</f>
        <v>VALE REFEICAO</v>
      </c>
      <c r="M228" s="11">
        <f>VLOOKUP(Tabela1[[#This Row],[ANO]]&amp;Tabela1[[#This Row],[Meses]],Tabela!$O:$P,2,FALSE)</f>
        <v>44228</v>
      </c>
      <c r="N228" t="str">
        <f t="shared" si="12"/>
        <v>4.01.01.01.01</v>
      </c>
      <c r="O228" s="5">
        <f>IF(Tabela1[[#This Row],[Contas]]="","",IF(Tabela1[[#This Row],[Contas]]="1.01.01.03.01",Tabela1[[#This Row],[Valor Débito]],Tabela1[[#This Row],[Movimento]]))</f>
        <v>9620</v>
      </c>
      <c r="P228" s="2" t="str">
        <f>IF(Tabela1[[#This Row],[Contas]]="","",IF(Tabela1[[#This Row],[Tam Conta]]=13,Tabela1[[#This Row],[Descrição Original]],P227))</f>
        <v>PESSOAL SERV. PROPRIOS</v>
      </c>
    </row>
    <row r="229" spans="1:16" x14ac:dyDescent="0.35">
      <c r="A229">
        <v>2021</v>
      </c>
      <c r="B229" t="s">
        <v>45</v>
      </c>
      <c r="C229" s="57" t="s">
        <v>92</v>
      </c>
      <c r="D229" s="49" t="s">
        <v>81</v>
      </c>
      <c r="E229" s="50">
        <v>0</v>
      </c>
      <c r="F229" s="50">
        <v>33245</v>
      </c>
      <c r="G229" s="50">
        <v>0</v>
      </c>
      <c r="H229" s="50">
        <f t="shared" si="11"/>
        <v>33245</v>
      </c>
      <c r="I229" s="50">
        <v>33245</v>
      </c>
      <c r="J229" s="49" t="s">
        <v>57</v>
      </c>
      <c r="K229">
        <f t="shared" si="13"/>
        <v>13</v>
      </c>
      <c r="L229" t="str">
        <f>IF(Tabela1[[#This Row],[Tam Conta]]=17,VLOOKUP(Tabela1[[#This Row],[Conta]],Tabela!$A:$C,3,FALSE),"")</f>
        <v/>
      </c>
      <c r="M229" s="11">
        <f>VLOOKUP(Tabela1[[#This Row],[ANO]]&amp;Tabela1[[#This Row],[Meses]],Tabela!$O:$P,2,FALSE)</f>
        <v>44228</v>
      </c>
      <c r="N229" t="str">
        <f t="shared" si="12"/>
        <v>4.01.01.01.02</v>
      </c>
      <c r="O229" s="5">
        <f>IF(Tabela1[[#This Row],[Contas]]="","",IF(Tabela1[[#This Row],[Contas]]="1.01.01.03.01",Tabela1[[#This Row],[Valor Débito]],Tabela1[[#This Row],[Movimento]]))</f>
        <v>33245</v>
      </c>
      <c r="P229" s="2" t="str">
        <f>IF(Tabela1[[#This Row],[Contas]]="","",IF(Tabela1[[#This Row],[Tam Conta]]=13,Tabela1[[#This Row],[Descrição Original]],P228))</f>
        <v>PESSOAL SERVICOS TERCEIROS</v>
      </c>
    </row>
    <row r="230" spans="1:16" x14ac:dyDescent="0.35">
      <c r="A230">
        <v>2021</v>
      </c>
      <c r="B230" t="s">
        <v>45</v>
      </c>
      <c r="C230" s="57" t="s">
        <v>113</v>
      </c>
      <c r="D230" s="49" t="s">
        <v>30</v>
      </c>
      <c r="E230" s="50">
        <v>0</v>
      </c>
      <c r="F230" s="50">
        <v>33245</v>
      </c>
      <c r="G230" s="50">
        <v>0</v>
      </c>
      <c r="H230" s="50">
        <f t="shared" si="11"/>
        <v>33245</v>
      </c>
      <c r="I230" s="50">
        <v>33245</v>
      </c>
      <c r="J230" s="49" t="s">
        <v>57</v>
      </c>
      <c r="K230">
        <f t="shared" si="13"/>
        <v>17</v>
      </c>
      <c r="L230" t="str">
        <f>IF(Tabela1[[#This Row],[Tam Conta]]=17,VLOOKUP(Tabela1[[#This Row],[Conta]],Tabela!$A:$C,3,FALSE),"")</f>
        <v>HONORÁRIO CONTÁBIL</v>
      </c>
      <c r="M230" s="11">
        <f>VLOOKUP(Tabela1[[#This Row],[ANO]]&amp;Tabela1[[#This Row],[Meses]],Tabela!$O:$P,2,FALSE)</f>
        <v>44228</v>
      </c>
      <c r="N230" t="str">
        <f t="shared" si="12"/>
        <v>4.01.01.01.02</v>
      </c>
      <c r="O230" s="5">
        <f>IF(Tabela1[[#This Row],[Contas]]="","",IF(Tabela1[[#This Row],[Contas]]="1.01.01.03.01",Tabela1[[#This Row],[Valor Débito]],Tabela1[[#This Row],[Movimento]]))</f>
        <v>33245</v>
      </c>
      <c r="P230" s="2" t="str">
        <f>IF(Tabela1[[#This Row],[Contas]]="","",IF(Tabela1[[#This Row],[Tam Conta]]=13,Tabela1[[#This Row],[Descrição Original]],P229))</f>
        <v>PESSOAL SERVICOS TERCEIROS</v>
      </c>
    </row>
    <row r="231" spans="1:16" x14ac:dyDescent="0.35">
      <c r="A231">
        <v>2021</v>
      </c>
      <c r="B231" t="s">
        <v>45</v>
      </c>
      <c r="C231" s="57" t="s">
        <v>94</v>
      </c>
      <c r="D231" s="49" t="s">
        <v>95</v>
      </c>
      <c r="E231" s="50">
        <v>6976.34</v>
      </c>
      <c r="F231" s="50">
        <v>77227.62</v>
      </c>
      <c r="G231" s="50">
        <v>0</v>
      </c>
      <c r="H231" s="50">
        <f t="shared" si="11"/>
        <v>77227.62</v>
      </c>
      <c r="I231" s="50">
        <v>84203.96</v>
      </c>
      <c r="J231" s="49" t="s">
        <v>57</v>
      </c>
      <c r="K231">
        <f t="shared" si="13"/>
        <v>13</v>
      </c>
      <c r="L231" t="str">
        <f>IF(Tabela1[[#This Row],[Tam Conta]]=17,VLOOKUP(Tabela1[[#This Row],[Conta]],Tabela!$A:$C,3,FALSE),"")</f>
        <v/>
      </c>
      <c r="M231" s="11">
        <f>VLOOKUP(Tabela1[[#This Row],[ANO]]&amp;Tabela1[[#This Row],[Meses]],Tabela!$O:$P,2,FALSE)</f>
        <v>44228</v>
      </c>
      <c r="N231" t="str">
        <f t="shared" si="12"/>
        <v>4.01.01.01.05</v>
      </c>
      <c r="O231" s="5">
        <f>IF(Tabela1[[#This Row],[Contas]]="","",IF(Tabela1[[#This Row],[Contas]]="1.01.01.03.01",Tabela1[[#This Row],[Valor Débito]],Tabela1[[#This Row],[Movimento]]))</f>
        <v>77227.62</v>
      </c>
      <c r="P231" s="2" t="str">
        <f>IF(Tabela1[[#This Row],[Contas]]="","",IF(Tabela1[[#This Row],[Tam Conta]]=13,Tabela1[[#This Row],[Descrição Original]],P230))</f>
        <v>GERAIS</v>
      </c>
    </row>
    <row r="232" spans="1:16" x14ac:dyDescent="0.35">
      <c r="A232">
        <v>2021</v>
      </c>
      <c r="B232" t="s">
        <v>45</v>
      </c>
      <c r="C232" s="57" t="s">
        <v>98</v>
      </c>
      <c r="D232" s="49" t="s">
        <v>39</v>
      </c>
      <c r="E232" s="50">
        <v>1019.03</v>
      </c>
      <c r="F232" s="50">
        <v>251.55</v>
      </c>
      <c r="G232" s="50">
        <v>0</v>
      </c>
      <c r="H232" s="50">
        <f t="shared" si="11"/>
        <v>251.55</v>
      </c>
      <c r="I232" s="50">
        <v>1270.58</v>
      </c>
      <c r="J232" s="49" t="s">
        <v>57</v>
      </c>
      <c r="K232">
        <f t="shared" si="13"/>
        <v>17</v>
      </c>
      <c r="L232" t="str">
        <f>IF(Tabela1[[#This Row],[Tam Conta]]=17,VLOOKUP(Tabela1[[#This Row],[Conta]],Tabela!$A:$C,3,FALSE),"")</f>
        <v>ANUNCIOS E PUBLICIDADES</v>
      </c>
      <c r="M232" s="11">
        <f>VLOOKUP(Tabela1[[#This Row],[ANO]]&amp;Tabela1[[#This Row],[Meses]],Tabela!$O:$P,2,FALSE)</f>
        <v>44228</v>
      </c>
      <c r="N232" t="str">
        <f t="shared" si="12"/>
        <v>4.01.01.01.05</v>
      </c>
      <c r="O232" s="5">
        <f>IF(Tabela1[[#This Row],[Contas]]="","",IF(Tabela1[[#This Row],[Contas]]="1.01.01.03.01",Tabela1[[#This Row],[Valor Débito]],Tabela1[[#This Row],[Movimento]]))</f>
        <v>251.55</v>
      </c>
      <c r="P232" s="2" t="str">
        <f>IF(Tabela1[[#This Row],[Contas]]="","",IF(Tabela1[[#This Row],[Tam Conta]]=13,Tabela1[[#This Row],[Descrição Original]],P231))</f>
        <v>GERAIS</v>
      </c>
    </row>
    <row r="233" spans="1:16" x14ac:dyDescent="0.35">
      <c r="A233">
        <v>2021</v>
      </c>
      <c r="B233" t="s">
        <v>45</v>
      </c>
      <c r="C233" s="57" t="s">
        <v>99</v>
      </c>
      <c r="D233" s="49" t="s">
        <v>100</v>
      </c>
      <c r="E233" s="50">
        <v>5957.31</v>
      </c>
      <c r="F233" s="50">
        <v>76976.070000000007</v>
      </c>
      <c r="G233" s="50">
        <v>0</v>
      </c>
      <c r="H233" s="50">
        <f t="shared" si="11"/>
        <v>76976.070000000007</v>
      </c>
      <c r="I233" s="50">
        <v>82933.38</v>
      </c>
      <c r="J233" s="49" t="s">
        <v>57</v>
      </c>
      <c r="K233">
        <f t="shared" si="13"/>
        <v>17</v>
      </c>
      <c r="L233" t="str">
        <f>IF(Tabela1[[#This Row],[Tam Conta]]=17,VLOOKUP(Tabela1[[#This Row],[Conta]],Tabela!$A:$C,3,FALSE),"")</f>
        <v>REMUNERACAO DE SERVIDORES CEDIDOS</v>
      </c>
      <c r="M233" s="11">
        <f>VLOOKUP(Tabela1[[#This Row],[ANO]]&amp;Tabela1[[#This Row],[Meses]],Tabela!$O:$P,2,FALSE)</f>
        <v>44228</v>
      </c>
      <c r="N233" t="str">
        <f t="shared" si="12"/>
        <v>4.01.01.01.05</v>
      </c>
      <c r="O233" s="5">
        <f>IF(Tabela1[[#This Row],[Contas]]="","",IF(Tabela1[[#This Row],[Contas]]="1.01.01.03.01",Tabela1[[#This Row],[Valor Débito]],Tabela1[[#This Row],[Movimento]]))</f>
        <v>76976.070000000007</v>
      </c>
      <c r="P233" s="2" t="str">
        <f>IF(Tabela1[[#This Row],[Contas]]="","",IF(Tabela1[[#This Row],[Tam Conta]]=13,Tabela1[[#This Row],[Descrição Original]],P232))</f>
        <v>GERAIS</v>
      </c>
    </row>
    <row r="234" spans="1:16" x14ac:dyDescent="0.35">
      <c r="A234">
        <v>2021</v>
      </c>
      <c r="B234" t="s">
        <v>45</v>
      </c>
      <c r="C234" s="57" t="s">
        <v>104</v>
      </c>
      <c r="D234" s="49" t="s">
        <v>105</v>
      </c>
      <c r="E234" s="50">
        <v>61911.6</v>
      </c>
      <c r="F234" s="50">
        <v>51062.65</v>
      </c>
      <c r="G234" s="50">
        <v>251.97</v>
      </c>
      <c r="H234" s="50">
        <f t="shared" si="11"/>
        <v>50810.68</v>
      </c>
      <c r="I234" s="50">
        <v>112722.28</v>
      </c>
      <c r="J234" s="49" t="s">
        <v>57</v>
      </c>
      <c r="K234">
        <f t="shared" si="13"/>
        <v>13</v>
      </c>
      <c r="L234" t="str">
        <f>IF(Tabela1[[#This Row],[Tam Conta]]=17,VLOOKUP(Tabela1[[#This Row],[Conta]],Tabela!$A:$C,3,FALSE),"")</f>
        <v/>
      </c>
      <c r="M234" s="11">
        <f>VLOOKUP(Tabela1[[#This Row],[ANO]]&amp;Tabela1[[#This Row],[Meses]],Tabela!$O:$P,2,FALSE)</f>
        <v>44228</v>
      </c>
      <c r="N234" t="str">
        <f t="shared" si="12"/>
        <v>4.01.01.01.06</v>
      </c>
      <c r="O234" s="5">
        <f>IF(Tabela1[[#This Row],[Contas]]="","",IF(Tabela1[[#This Row],[Contas]]="1.01.01.03.01",Tabela1[[#This Row],[Valor Débito]],Tabela1[[#This Row],[Movimento]]))</f>
        <v>50810.68</v>
      </c>
      <c r="P234" s="2" t="str">
        <f>IF(Tabela1[[#This Row],[Contas]]="","",IF(Tabela1[[#This Row],[Tam Conta]]=13,Tabela1[[#This Row],[Descrição Original]],P233))</f>
        <v>PROV. PARA      CUSTOS DO EXERCICIO</v>
      </c>
    </row>
    <row r="235" spans="1:16" x14ac:dyDescent="0.35">
      <c r="A235">
        <v>2021</v>
      </c>
      <c r="B235" t="s">
        <v>45</v>
      </c>
      <c r="C235" s="57" t="s">
        <v>106</v>
      </c>
      <c r="D235" s="49" t="s">
        <v>19</v>
      </c>
      <c r="E235" s="50">
        <v>18954.62</v>
      </c>
      <c r="F235" s="50">
        <v>18975.849999999999</v>
      </c>
      <c r="G235" s="50">
        <v>0</v>
      </c>
      <c r="H235" s="50">
        <f t="shared" si="11"/>
        <v>18975.849999999999</v>
      </c>
      <c r="I235" s="50">
        <v>37930.47</v>
      </c>
      <c r="J235" s="49" t="s">
        <v>57</v>
      </c>
      <c r="K235">
        <f t="shared" si="13"/>
        <v>17</v>
      </c>
      <c r="L235" t="str">
        <f>IF(Tabela1[[#This Row],[Tam Conta]]=17,VLOOKUP(Tabela1[[#This Row],[Conta]],Tabela!$A:$C,3,FALSE),"")</f>
        <v>13 SALARIO</v>
      </c>
      <c r="M235" s="11">
        <f>VLOOKUP(Tabela1[[#This Row],[ANO]]&amp;Tabela1[[#This Row],[Meses]],Tabela!$O:$P,2,FALSE)</f>
        <v>44228</v>
      </c>
      <c r="N235" t="str">
        <f t="shared" si="12"/>
        <v>4.01.01.01.06</v>
      </c>
      <c r="O235" s="5">
        <f>IF(Tabela1[[#This Row],[Contas]]="","",IF(Tabela1[[#This Row],[Contas]]="1.01.01.03.01",Tabela1[[#This Row],[Valor Débito]],Tabela1[[#This Row],[Movimento]]))</f>
        <v>18975.849999999999</v>
      </c>
      <c r="P235" s="2" t="str">
        <f>IF(Tabela1[[#This Row],[Contas]]="","",IF(Tabela1[[#This Row],[Tam Conta]]=13,Tabela1[[#This Row],[Descrição Original]],P234))</f>
        <v>PROV. PARA      CUSTOS DO EXERCICIO</v>
      </c>
    </row>
    <row r="236" spans="1:16" x14ac:dyDescent="0.35">
      <c r="A236">
        <v>2021</v>
      </c>
      <c r="B236" t="s">
        <v>45</v>
      </c>
      <c r="C236" s="57" t="s">
        <v>107</v>
      </c>
      <c r="D236" s="49" t="s">
        <v>20</v>
      </c>
      <c r="E236" s="50">
        <v>26302.28</v>
      </c>
      <c r="F236" s="50">
        <v>18356.810000000001</v>
      </c>
      <c r="G236" s="50">
        <v>22.36</v>
      </c>
      <c r="H236" s="50">
        <f t="shared" si="11"/>
        <v>18334.45</v>
      </c>
      <c r="I236" s="50">
        <v>44636.73</v>
      </c>
      <c r="J236" s="49" t="s">
        <v>57</v>
      </c>
      <c r="K236">
        <f t="shared" si="13"/>
        <v>17</v>
      </c>
      <c r="L236" t="str">
        <f>IF(Tabela1[[#This Row],[Tam Conta]]=17,VLOOKUP(Tabela1[[#This Row],[Conta]],Tabela!$A:$C,3,FALSE),"")</f>
        <v>FERIAS</v>
      </c>
      <c r="M236" s="11">
        <f>VLOOKUP(Tabela1[[#This Row],[ANO]]&amp;Tabela1[[#This Row],[Meses]],Tabela!$O:$P,2,FALSE)</f>
        <v>44228</v>
      </c>
      <c r="N236" t="str">
        <f t="shared" si="12"/>
        <v>4.01.01.01.06</v>
      </c>
      <c r="O236" s="5">
        <f>IF(Tabela1[[#This Row],[Contas]]="","",IF(Tabela1[[#This Row],[Contas]]="1.01.01.03.01",Tabela1[[#This Row],[Valor Débito]],Tabela1[[#This Row],[Movimento]]))</f>
        <v>18334.45</v>
      </c>
      <c r="P236" s="2" t="str">
        <f>IF(Tabela1[[#This Row],[Contas]]="","",IF(Tabela1[[#This Row],[Tam Conta]]=13,Tabela1[[#This Row],[Descrição Original]],P235))</f>
        <v>PROV. PARA      CUSTOS DO EXERCICIO</v>
      </c>
    </row>
    <row r="237" spans="1:16" x14ac:dyDescent="0.35">
      <c r="A237">
        <v>2021</v>
      </c>
      <c r="B237" t="s">
        <v>45</v>
      </c>
      <c r="C237" s="57" t="s">
        <v>108</v>
      </c>
      <c r="D237" s="49" t="s">
        <v>21</v>
      </c>
      <c r="E237" s="50">
        <v>6975.38</v>
      </c>
      <c r="F237" s="50">
        <v>6982.88</v>
      </c>
      <c r="G237" s="50">
        <v>0</v>
      </c>
      <c r="H237" s="50">
        <f t="shared" si="11"/>
        <v>6982.88</v>
      </c>
      <c r="I237" s="50">
        <v>13958.26</v>
      </c>
      <c r="J237" s="49" t="s">
        <v>57</v>
      </c>
      <c r="K237">
        <f t="shared" si="13"/>
        <v>17</v>
      </c>
      <c r="L237" t="str">
        <f>IF(Tabela1[[#This Row],[Tam Conta]]=17,VLOOKUP(Tabela1[[#This Row],[Conta]],Tabela!$A:$C,3,FALSE),"")</f>
        <v>ENCARGOS SOCIAIS - 13º SALARIO</v>
      </c>
      <c r="M237" s="11">
        <f>VLOOKUP(Tabela1[[#This Row],[ANO]]&amp;Tabela1[[#This Row],[Meses]],Tabela!$O:$P,2,FALSE)</f>
        <v>44228</v>
      </c>
      <c r="N237" t="str">
        <f t="shared" si="12"/>
        <v>4.01.01.01.06</v>
      </c>
      <c r="O237" s="5">
        <f>IF(Tabela1[[#This Row],[Contas]]="","",IF(Tabela1[[#This Row],[Contas]]="1.01.01.03.01",Tabela1[[#This Row],[Valor Débito]],Tabela1[[#This Row],[Movimento]]))</f>
        <v>6982.88</v>
      </c>
      <c r="P237" s="2" t="str">
        <f>IF(Tabela1[[#This Row],[Contas]]="","",IF(Tabela1[[#This Row],[Tam Conta]]=13,Tabela1[[#This Row],[Descrição Original]],P236))</f>
        <v>PROV. PARA      CUSTOS DO EXERCICIO</v>
      </c>
    </row>
    <row r="238" spans="1:16" x14ac:dyDescent="0.35">
      <c r="A238">
        <v>2021</v>
      </c>
      <c r="B238" t="s">
        <v>45</v>
      </c>
      <c r="C238" s="57" t="s">
        <v>109</v>
      </c>
      <c r="D238" s="49" t="s">
        <v>568</v>
      </c>
      <c r="E238" s="50">
        <v>9679.32</v>
      </c>
      <c r="F238" s="50">
        <v>6747.11</v>
      </c>
      <c r="G238" s="50">
        <v>229.61</v>
      </c>
      <c r="H238" s="50">
        <f t="shared" si="11"/>
        <v>6517.5</v>
      </c>
      <c r="I238" s="50">
        <v>16196.82</v>
      </c>
      <c r="J238" s="49" t="s">
        <v>57</v>
      </c>
      <c r="K238">
        <f t="shared" si="13"/>
        <v>17</v>
      </c>
      <c r="L238" t="str">
        <f>IF(Tabela1[[#This Row],[Tam Conta]]=17,VLOOKUP(Tabela1[[#This Row],[Conta]],Tabela!$A:$C,3,FALSE),"")</f>
        <v>ENCARGOS SOCIAIS - FERIAS</v>
      </c>
      <c r="M238" s="11">
        <f>VLOOKUP(Tabela1[[#This Row],[ANO]]&amp;Tabela1[[#This Row],[Meses]],Tabela!$O:$P,2,FALSE)</f>
        <v>44228</v>
      </c>
      <c r="N238" t="str">
        <f t="shared" si="12"/>
        <v>4.01.01.01.06</v>
      </c>
      <c r="O238" s="5">
        <f>IF(Tabela1[[#This Row],[Contas]]="","",IF(Tabela1[[#This Row],[Contas]]="1.01.01.03.01",Tabela1[[#This Row],[Valor Débito]],Tabela1[[#This Row],[Movimento]]))</f>
        <v>6517.5</v>
      </c>
      <c r="P238" s="2" t="str">
        <f>IF(Tabela1[[#This Row],[Contas]]="","",IF(Tabela1[[#This Row],[Tam Conta]]=13,Tabela1[[#This Row],[Descrição Original]],P237))</f>
        <v>PROV. PARA      CUSTOS DO EXERCICIO</v>
      </c>
    </row>
    <row r="239" spans="1:16" x14ac:dyDescent="0.35">
      <c r="A239">
        <v>2021</v>
      </c>
      <c r="B239" t="s">
        <v>45</v>
      </c>
      <c r="C239" s="57" t="s">
        <v>110</v>
      </c>
      <c r="D239" s="49" t="s">
        <v>111</v>
      </c>
      <c r="E239" s="50">
        <v>7113.95</v>
      </c>
      <c r="F239" s="50">
        <v>0</v>
      </c>
      <c r="G239" s="50">
        <v>0</v>
      </c>
      <c r="H239" s="50">
        <f t="shared" si="11"/>
        <v>0</v>
      </c>
      <c r="I239" s="50">
        <v>7113.95</v>
      </c>
      <c r="J239" s="49" t="s">
        <v>57</v>
      </c>
      <c r="K239">
        <f t="shared" si="13"/>
        <v>13</v>
      </c>
      <c r="L239" t="str">
        <f>IF(Tabela1[[#This Row],[Tam Conta]]=17,VLOOKUP(Tabela1[[#This Row],[Conta]],Tabela!$A:$C,3,FALSE),"")</f>
        <v/>
      </c>
      <c r="M239" s="11">
        <f>VLOOKUP(Tabela1[[#This Row],[ANO]]&amp;Tabela1[[#This Row],[Meses]],Tabela!$O:$P,2,FALSE)</f>
        <v>44228</v>
      </c>
      <c r="N239" t="str">
        <f t="shared" si="12"/>
        <v>4.01.01.01.08</v>
      </c>
      <c r="O239" s="5">
        <f>IF(Tabela1[[#This Row],[Contas]]="","",IF(Tabela1[[#This Row],[Contas]]="1.01.01.03.01",Tabela1[[#This Row],[Valor Débito]],Tabela1[[#This Row],[Movimento]]))</f>
        <v>0</v>
      </c>
      <c r="P239" s="2" t="str">
        <f>IF(Tabela1[[#This Row],[Contas]]="","",IF(Tabela1[[#This Row],[Tam Conta]]=13,Tabela1[[#This Row],[Descrição Original]],P238))</f>
        <v>DESPESAS FINANCEIRAS</v>
      </c>
    </row>
    <row r="240" spans="1:16" x14ac:dyDescent="0.35">
      <c r="A240">
        <v>2021</v>
      </c>
      <c r="B240" t="s">
        <v>45</v>
      </c>
      <c r="C240" s="57" t="s">
        <v>112</v>
      </c>
      <c r="D240" s="49" t="s">
        <v>40</v>
      </c>
      <c r="E240" s="50">
        <v>7113.95</v>
      </c>
      <c r="F240" s="50">
        <v>0</v>
      </c>
      <c r="G240" s="50">
        <v>0</v>
      </c>
      <c r="H240" s="50">
        <f t="shared" si="11"/>
        <v>0</v>
      </c>
      <c r="I240" s="50">
        <v>7113.95</v>
      </c>
      <c r="J240" s="49" t="s">
        <v>57</v>
      </c>
      <c r="K240">
        <f t="shared" si="13"/>
        <v>17</v>
      </c>
      <c r="L240" t="str">
        <f>IF(Tabela1[[#This Row],[Tam Conta]]=17,VLOOKUP(Tabela1[[#This Row],[Conta]],Tabela!$A:$C,3,FALSE),"")</f>
        <v>JUROS E CORRECAO MONETARIA</v>
      </c>
      <c r="M240" s="11">
        <f>VLOOKUP(Tabela1[[#This Row],[ANO]]&amp;Tabela1[[#This Row],[Meses]],Tabela!$O:$P,2,FALSE)</f>
        <v>44228</v>
      </c>
      <c r="N240" t="str">
        <f t="shared" si="12"/>
        <v>4.01.01.01.08</v>
      </c>
      <c r="O240" s="5">
        <f>IF(Tabela1[[#This Row],[Contas]]="","",IF(Tabela1[[#This Row],[Contas]]="1.01.01.03.01",Tabela1[[#This Row],[Valor Débito]],Tabela1[[#This Row],[Movimento]]))</f>
        <v>0</v>
      </c>
      <c r="P240" s="2" t="str">
        <f>IF(Tabela1[[#This Row],[Contas]]="","",IF(Tabela1[[#This Row],[Tam Conta]]=13,Tabela1[[#This Row],[Descrição Original]],P239))</f>
        <v>DESPESAS FINANCEIRAS</v>
      </c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8"/>
  <dimension ref="A1:H42"/>
  <sheetViews>
    <sheetView showGridLines="0" showRowColHeaders="0" tabSelected="1" zoomScale="55" zoomScaleNormal="55" workbookViewId="0">
      <selection activeCell="H11" sqref="H11"/>
    </sheetView>
  </sheetViews>
  <sheetFormatPr defaultColWidth="0" defaultRowHeight="14.5" x14ac:dyDescent="0.35"/>
  <cols>
    <col min="1" max="1" width="3.81640625" customWidth="1"/>
    <col min="2" max="2" width="34" bestFit="1" customWidth="1"/>
    <col min="3" max="3" width="53.1796875" bestFit="1" customWidth="1"/>
    <col min="4" max="4" width="80" customWidth="1"/>
    <col min="5" max="5" width="25.54296875" customWidth="1"/>
    <col min="6" max="6" width="21.453125" customWidth="1"/>
    <col min="7" max="7" width="30.1796875" customWidth="1"/>
    <col min="8" max="8" width="9.1796875" customWidth="1"/>
    <col min="9" max="16384" width="9.1796875" hidden="1"/>
  </cols>
  <sheetData>
    <row r="1" spans="2:7" ht="12.75" customHeight="1" x14ac:dyDescent="0.35"/>
    <row r="2" spans="2:7" ht="14.5" customHeight="1" x14ac:dyDescent="0.35">
      <c r="B2" s="86"/>
      <c r="C2" s="86"/>
      <c r="D2" s="86"/>
      <c r="E2" s="86"/>
      <c r="F2" s="86"/>
      <c r="G2" s="86"/>
    </row>
    <row r="3" spans="2:7" ht="46" customHeight="1" x14ac:dyDescent="0.85">
      <c r="B3" s="89" t="s">
        <v>3314</v>
      </c>
      <c r="C3" s="89"/>
      <c r="D3" s="89"/>
      <c r="E3" s="89"/>
      <c r="F3" s="89"/>
      <c r="G3" s="89"/>
    </row>
    <row r="4" spans="2:7" ht="28.5" customHeight="1" x14ac:dyDescent="0.65">
      <c r="B4" s="88" t="s">
        <v>3316</v>
      </c>
      <c r="C4" s="88"/>
      <c r="D4" s="88"/>
      <c r="E4" s="88"/>
      <c r="F4" s="88"/>
      <c r="G4" s="88"/>
    </row>
    <row r="5" spans="2:7" ht="14.5" customHeight="1" x14ac:dyDescent="0.35">
      <c r="B5" s="86"/>
      <c r="C5" s="86"/>
      <c r="D5" s="86"/>
      <c r="E5" s="84" t="s">
        <v>3318</v>
      </c>
      <c r="F5" s="85" t="s">
        <v>3317</v>
      </c>
      <c r="G5" s="85"/>
    </row>
    <row r="6" spans="2:7" ht="23.5" x14ac:dyDescent="0.55000000000000004">
      <c r="B6" s="77" t="s">
        <v>3268</v>
      </c>
    </row>
    <row r="7" spans="2:7" ht="21" customHeight="1" x14ac:dyDescent="0.45">
      <c r="B7" s="90"/>
      <c r="C7" s="90"/>
    </row>
    <row r="8" spans="2:7" ht="6" customHeight="1" x14ac:dyDescent="0.35"/>
    <row r="9" spans="2:7" ht="23.5" x14ac:dyDescent="0.55000000000000004">
      <c r="B9" s="77" t="s">
        <v>3315</v>
      </c>
      <c r="G9" s="87"/>
    </row>
    <row r="10" spans="2:7" ht="22.5" customHeight="1" x14ac:dyDescent="0.45">
      <c r="B10" s="90"/>
      <c r="C10" s="90"/>
    </row>
    <row r="11" spans="2:7" ht="21" x14ac:dyDescent="0.5">
      <c r="D11" s="74" t="s">
        <v>3267</v>
      </c>
      <c r="E11" s="75">
        <f>SUM(Tabela6[VALOR])</f>
        <v>0</v>
      </c>
    </row>
    <row r="13" spans="2:7" ht="20.25" customHeight="1" x14ac:dyDescent="0.35">
      <c r="B13" s="78" t="s">
        <v>3263</v>
      </c>
      <c r="C13" s="78" t="s">
        <v>3264</v>
      </c>
      <c r="D13" s="78" t="s">
        <v>3265</v>
      </c>
      <c r="E13" s="79" t="s">
        <v>3266</v>
      </c>
      <c r="F13" s="79" t="s">
        <v>3312</v>
      </c>
      <c r="G13" s="78" t="s">
        <v>3313</v>
      </c>
    </row>
    <row r="14" spans="2:7" ht="22.5" customHeight="1" x14ac:dyDescent="0.35">
      <c r="B14" s="80" t="s">
        <v>95</v>
      </c>
      <c r="C14" s="80"/>
      <c r="D14" s="80"/>
      <c r="E14" s="81"/>
      <c r="F14" s="81"/>
      <c r="G14" s="80"/>
    </row>
    <row r="15" spans="2:7" ht="22.5" customHeight="1" x14ac:dyDescent="0.35">
      <c r="B15" s="80"/>
      <c r="C15" s="80"/>
      <c r="D15" s="80"/>
      <c r="E15" s="81"/>
      <c r="F15" s="81"/>
      <c r="G15" s="80"/>
    </row>
    <row r="16" spans="2:7" ht="22.5" customHeight="1" x14ac:dyDescent="0.35">
      <c r="B16" s="80"/>
      <c r="C16" s="80"/>
      <c r="D16" s="80"/>
      <c r="E16" s="81"/>
      <c r="F16" s="81"/>
      <c r="G16" s="80"/>
    </row>
    <row r="17" spans="2:7" ht="22.5" customHeight="1" x14ac:dyDescent="0.35">
      <c r="B17" s="80"/>
      <c r="C17" s="80"/>
      <c r="D17" s="80"/>
      <c r="E17" s="81"/>
      <c r="F17" s="81"/>
      <c r="G17" s="80"/>
    </row>
    <row r="18" spans="2:7" ht="22.5" customHeight="1" x14ac:dyDescent="0.35">
      <c r="B18" s="80"/>
      <c r="C18" s="80"/>
      <c r="D18" s="80"/>
      <c r="E18" s="81"/>
      <c r="F18" s="81"/>
      <c r="G18" s="80"/>
    </row>
    <row r="19" spans="2:7" ht="22.5" customHeight="1" x14ac:dyDescent="0.35">
      <c r="B19" s="80"/>
      <c r="C19" s="80"/>
      <c r="D19" s="80"/>
      <c r="E19" s="81"/>
      <c r="F19" s="81"/>
      <c r="G19" s="80"/>
    </row>
    <row r="20" spans="2:7" ht="22.5" customHeight="1" x14ac:dyDescent="0.35">
      <c r="B20" s="80"/>
      <c r="C20" s="80"/>
      <c r="D20" s="80"/>
      <c r="E20" s="81"/>
      <c r="F20" s="81"/>
      <c r="G20" s="80"/>
    </row>
    <row r="21" spans="2:7" ht="22.5" customHeight="1" x14ac:dyDescent="0.35">
      <c r="B21" s="80"/>
      <c r="C21" s="80"/>
      <c r="D21" s="80"/>
      <c r="E21" s="81"/>
      <c r="F21" s="81"/>
      <c r="G21" s="80"/>
    </row>
    <row r="22" spans="2:7" ht="22.5" customHeight="1" x14ac:dyDescent="0.35">
      <c r="B22" s="80"/>
      <c r="C22" s="80"/>
      <c r="D22" s="80"/>
      <c r="E22" s="81"/>
      <c r="F22" s="81"/>
      <c r="G22" s="80"/>
    </row>
    <row r="23" spans="2:7" ht="22.5" customHeight="1" x14ac:dyDescent="0.35">
      <c r="B23" s="80"/>
      <c r="C23" s="80"/>
      <c r="D23" s="80"/>
      <c r="E23" s="81"/>
      <c r="F23" s="81"/>
      <c r="G23" s="80"/>
    </row>
    <row r="24" spans="2:7" ht="22.5" customHeight="1" x14ac:dyDescent="0.35">
      <c r="B24" s="80"/>
      <c r="C24" s="80"/>
      <c r="D24" s="80"/>
      <c r="E24" s="81"/>
      <c r="F24" s="81"/>
      <c r="G24" s="80"/>
    </row>
    <row r="25" spans="2:7" ht="22.5" customHeight="1" x14ac:dyDescent="0.35">
      <c r="B25" s="80"/>
      <c r="C25" s="80"/>
      <c r="D25" s="80"/>
      <c r="E25" s="81"/>
      <c r="F25" s="81"/>
      <c r="G25" s="80"/>
    </row>
    <row r="26" spans="2:7" ht="22.5" customHeight="1" x14ac:dyDescent="0.35">
      <c r="B26" s="80"/>
      <c r="C26" s="80"/>
      <c r="D26" s="80"/>
      <c r="E26" s="81"/>
      <c r="F26" s="81"/>
      <c r="G26" s="80"/>
    </row>
    <row r="27" spans="2:7" ht="22.5" customHeight="1" x14ac:dyDescent="0.35">
      <c r="B27" s="80"/>
      <c r="C27" s="80"/>
      <c r="D27" s="80"/>
      <c r="E27" s="81"/>
      <c r="F27" s="81"/>
      <c r="G27" s="80"/>
    </row>
    <row r="28" spans="2:7" ht="22.5" customHeight="1" x14ac:dyDescent="0.35">
      <c r="B28" s="80"/>
      <c r="C28" s="80"/>
      <c r="D28" s="80"/>
      <c r="E28" s="81"/>
      <c r="F28" s="81"/>
      <c r="G28" s="80"/>
    </row>
    <row r="29" spans="2:7" ht="22.5" customHeight="1" x14ac:dyDescent="0.35">
      <c r="B29" s="80"/>
      <c r="C29" s="80"/>
      <c r="D29" s="80"/>
      <c r="E29" s="81"/>
      <c r="F29" s="81"/>
      <c r="G29" s="80"/>
    </row>
    <row r="30" spans="2:7" ht="22.5" customHeight="1" x14ac:dyDescent="0.35">
      <c r="B30" s="80"/>
      <c r="C30" s="80"/>
      <c r="D30" s="80"/>
      <c r="E30" s="81"/>
      <c r="F30" s="81"/>
      <c r="G30" s="80"/>
    </row>
    <row r="31" spans="2:7" ht="22.5" customHeight="1" x14ac:dyDescent="0.35">
      <c r="B31" s="80"/>
      <c r="C31" s="80"/>
      <c r="D31" s="80"/>
      <c r="E31" s="81"/>
      <c r="F31" s="81"/>
      <c r="G31" s="80"/>
    </row>
    <row r="32" spans="2:7" ht="22.5" customHeight="1" x14ac:dyDescent="0.35">
      <c r="B32" s="80"/>
      <c r="C32" s="80"/>
      <c r="D32" s="80"/>
      <c r="E32" s="81"/>
      <c r="F32" s="81"/>
      <c r="G32" s="80"/>
    </row>
    <row r="33" spans="2:7" ht="22.5" customHeight="1" x14ac:dyDescent="0.35">
      <c r="B33" s="80"/>
      <c r="C33" s="80"/>
      <c r="D33" s="80"/>
      <c r="E33" s="81"/>
      <c r="F33" s="81"/>
      <c r="G33" s="80"/>
    </row>
    <row r="34" spans="2:7" ht="22.5" customHeight="1" x14ac:dyDescent="0.35">
      <c r="B34" s="80"/>
      <c r="C34" s="80"/>
      <c r="D34" s="80"/>
      <c r="E34" s="81"/>
      <c r="F34" s="81"/>
      <c r="G34" s="80"/>
    </row>
    <row r="35" spans="2:7" ht="22.5" customHeight="1" x14ac:dyDescent="0.35">
      <c r="B35" s="80"/>
      <c r="C35" s="80"/>
      <c r="D35" s="80"/>
      <c r="E35" s="81"/>
      <c r="F35" s="81"/>
      <c r="G35" s="80"/>
    </row>
    <row r="36" spans="2:7" ht="22.5" customHeight="1" x14ac:dyDescent="0.35">
      <c r="B36" s="80"/>
      <c r="C36" s="80"/>
      <c r="D36" s="80"/>
      <c r="E36" s="81"/>
      <c r="F36" s="81"/>
      <c r="G36" s="80"/>
    </row>
    <row r="37" spans="2:7" ht="22.5" customHeight="1" x14ac:dyDescent="0.35">
      <c r="B37" s="80"/>
      <c r="C37" s="80"/>
      <c r="D37" s="80"/>
      <c r="E37" s="81"/>
      <c r="F37" s="81"/>
      <c r="G37" s="80"/>
    </row>
    <row r="38" spans="2:7" ht="22.5" customHeight="1" x14ac:dyDescent="0.35">
      <c r="B38" s="80"/>
      <c r="C38" s="80"/>
      <c r="D38" s="80"/>
      <c r="E38" s="81"/>
      <c r="F38" s="81"/>
      <c r="G38" s="80"/>
    </row>
    <row r="39" spans="2:7" ht="22.5" customHeight="1" x14ac:dyDescent="0.35">
      <c r="B39" s="80"/>
      <c r="C39" s="80"/>
      <c r="D39" s="80"/>
      <c r="E39" s="81"/>
      <c r="F39" s="81"/>
      <c r="G39" s="80"/>
    </row>
    <row r="40" spans="2:7" ht="22.5" customHeight="1" x14ac:dyDescent="0.35">
      <c r="B40" s="80"/>
      <c r="C40" s="80"/>
      <c r="D40" s="80"/>
      <c r="E40" s="81"/>
      <c r="F40" s="81"/>
      <c r="G40" s="80"/>
    </row>
    <row r="41" spans="2:7" ht="22.5" customHeight="1" x14ac:dyDescent="0.35">
      <c r="B41" s="80"/>
      <c r="C41" s="80"/>
      <c r="D41" s="80"/>
      <c r="E41" s="81"/>
      <c r="F41" s="81"/>
      <c r="G41" s="80"/>
    </row>
    <row r="42" spans="2:7" ht="22.5" customHeight="1" x14ac:dyDescent="0.35">
      <c r="B42" s="80"/>
      <c r="C42" s="80"/>
      <c r="D42" s="80"/>
      <c r="E42" s="81"/>
      <c r="F42" s="81"/>
      <c r="G42" s="80"/>
    </row>
  </sheetData>
  <mergeCells count="4">
    <mergeCell ref="B4:G4"/>
    <mergeCell ref="B3:G3"/>
    <mergeCell ref="B7:C7"/>
    <mergeCell ref="B10:C10"/>
  </mergeCells>
  <dataValidations count="1">
    <dataValidation type="list" allowBlank="1" showInputMessage="1" showErrorMessage="1" sqref="F14:F42">
      <formula1>"PRÓPRIO,ENSINO E PESQUISA"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Dados!$F$1:$F$8</xm:f>
          </x14:formula1>
          <xm:sqref>B14:B42</xm:sqref>
        </x14:dataValidation>
        <x14:dataValidation type="list" allowBlank="1" showInputMessage="1" showErrorMessage="1">
          <x14:formula1>
            <xm:f>Dados!$I$1:$I$4</xm:f>
          </x14:formula1>
          <xm:sqref>B8</xm:sqref>
        </x14:dataValidation>
        <x14:dataValidation type="list" allowBlank="1" showInputMessage="1" showErrorMessage="1">
          <x14:formula1>
            <xm:f>OFFSET(Dados!$M:$M,MATCH(B10,Dados!$L:$L,0)-1,0,COUNTIF(Dados!$L:$L,B10))</xm:f>
          </x14:formula1>
          <xm:sqref>D10</xm:sqref>
        </x14:dataValidation>
        <x14:dataValidation type="list" allowBlank="1" showInputMessage="1" showErrorMessage="1">
          <x14:formula1>
            <xm:f>OFFSET(Dados!B:B,MATCH(B14,Dados!$A:$A,0)-1,0,COUNTIF(Dados!$A:$A,B14))</xm:f>
          </x14:formula1>
          <xm:sqref>C14:C42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3:I236"/>
  <sheetViews>
    <sheetView workbookViewId="0">
      <selection activeCell="G5" sqref="G5"/>
    </sheetView>
  </sheetViews>
  <sheetFormatPr defaultRowHeight="14.5" x14ac:dyDescent="0.35"/>
  <cols>
    <col min="1" max="1" width="12.453125" customWidth="1"/>
    <col min="2" max="2" width="12.26953125" style="4" customWidth="1"/>
    <col min="3" max="3" width="22.453125" customWidth="1"/>
    <col min="4" max="4" width="38.54296875" bestFit="1" customWidth="1"/>
    <col min="5" max="5" width="12" style="4" customWidth="1"/>
    <col min="6" max="6" width="38.54296875" bestFit="1" customWidth="1"/>
    <col min="7" max="7" width="31" customWidth="1"/>
    <col min="8" max="8" width="53.1796875" bestFit="1" customWidth="1"/>
    <col min="9" max="9" width="13.81640625" bestFit="1" customWidth="1"/>
  </cols>
  <sheetData>
    <row r="3" spans="1:9" x14ac:dyDescent="0.35">
      <c r="A3" s="9" t="s">
        <v>85</v>
      </c>
      <c r="B3" s="9" t="s">
        <v>86</v>
      </c>
      <c r="C3" s="10" t="s">
        <v>87</v>
      </c>
      <c r="D3" s="9" t="s">
        <v>88</v>
      </c>
      <c r="E3" s="9" t="s">
        <v>89</v>
      </c>
      <c r="F3" s="9" t="s">
        <v>90</v>
      </c>
      <c r="G3" s="9" t="s">
        <v>8</v>
      </c>
      <c r="H3" s="9" t="s">
        <v>9</v>
      </c>
      <c r="I3" s="4" t="s">
        <v>91</v>
      </c>
    </row>
    <row r="4" spans="1:9" x14ac:dyDescent="0.35">
      <c r="A4">
        <v>2020</v>
      </c>
      <c r="B4" t="s">
        <v>55</v>
      </c>
      <c r="C4" s="11">
        <v>44166</v>
      </c>
      <c r="D4" t="s">
        <v>64</v>
      </c>
      <c r="E4">
        <v>13</v>
      </c>
      <c r="F4" t="s">
        <v>64</v>
      </c>
      <c r="G4" t="s">
        <v>65</v>
      </c>
      <c r="I4" s="4">
        <v>1832511.6199999999</v>
      </c>
    </row>
    <row r="5" spans="1:9" x14ac:dyDescent="0.35">
      <c r="A5">
        <v>2020</v>
      </c>
      <c r="B5" t="s">
        <v>55</v>
      </c>
      <c r="C5" s="11">
        <v>44166</v>
      </c>
      <c r="D5" t="s">
        <v>66</v>
      </c>
      <c r="E5">
        <v>17</v>
      </c>
      <c r="F5" t="s">
        <v>64</v>
      </c>
      <c r="G5" t="s">
        <v>65</v>
      </c>
      <c r="H5" t="s">
        <v>15</v>
      </c>
      <c r="I5" s="4">
        <v>1087683.46</v>
      </c>
    </row>
    <row r="6" spans="1:9" x14ac:dyDescent="0.35">
      <c r="A6">
        <v>2020</v>
      </c>
      <c r="B6" t="s">
        <v>55</v>
      </c>
      <c r="C6" s="11">
        <v>44166</v>
      </c>
      <c r="D6" t="s">
        <v>67</v>
      </c>
      <c r="E6">
        <v>17</v>
      </c>
      <c r="F6" t="s">
        <v>64</v>
      </c>
      <c r="G6" t="s">
        <v>65</v>
      </c>
      <c r="H6" t="s">
        <v>19</v>
      </c>
      <c r="I6" s="4">
        <v>89595.17</v>
      </c>
    </row>
    <row r="7" spans="1:9" x14ac:dyDescent="0.35">
      <c r="A7">
        <v>2020</v>
      </c>
      <c r="B7" t="s">
        <v>55</v>
      </c>
      <c r="C7" s="11">
        <v>44166</v>
      </c>
      <c r="D7" t="s">
        <v>69</v>
      </c>
      <c r="E7">
        <v>17</v>
      </c>
      <c r="F7" t="s">
        <v>64</v>
      </c>
      <c r="G7" t="s">
        <v>65</v>
      </c>
      <c r="H7" t="s">
        <v>23</v>
      </c>
      <c r="I7" s="4">
        <v>837.4</v>
      </c>
    </row>
    <row r="8" spans="1:9" x14ac:dyDescent="0.35">
      <c r="A8">
        <v>2020</v>
      </c>
      <c r="B8" t="s">
        <v>55</v>
      </c>
      <c r="C8" s="11">
        <v>44166</v>
      </c>
      <c r="D8" t="s">
        <v>70</v>
      </c>
      <c r="E8">
        <v>17</v>
      </c>
      <c r="F8" t="s">
        <v>64</v>
      </c>
      <c r="G8" t="s">
        <v>65</v>
      </c>
      <c r="H8" t="s">
        <v>11</v>
      </c>
      <c r="I8" s="4">
        <v>104194.62000000001</v>
      </c>
    </row>
    <row r="9" spans="1:9" x14ac:dyDescent="0.35">
      <c r="A9">
        <v>2020</v>
      </c>
      <c r="B9" t="s">
        <v>55</v>
      </c>
      <c r="C9" s="11">
        <v>44166</v>
      </c>
      <c r="D9" t="s">
        <v>71</v>
      </c>
      <c r="E9">
        <v>17</v>
      </c>
      <c r="F9" t="s">
        <v>64</v>
      </c>
      <c r="G9" t="s">
        <v>65</v>
      </c>
      <c r="H9" t="s">
        <v>12</v>
      </c>
      <c r="I9" s="4">
        <v>13009.69</v>
      </c>
    </row>
    <row r="10" spans="1:9" x14ac:dyDescent="0.35">
      <c r="A10">
        <v>2020</v>
      </c>
      <c r="B10" t="s">
        <v>55</v>
      </c>
      <c r="C10" s="11">
        <v>44166</v>
      </c>
      <c r="D10" t="s">
        <v>72</v>
      </c>
      <c r="E10">
        <v>17</v>
      </c>
      <c r="F10" t="s">
        <v>64</v>
      </c>
      <c r="G10" t="s">
        <v>65</v>
      </c>
      <c r="H10" t="s">
        <v>18</v>
      </c>
      <c r="I10" s="4">
        <v>1170</v>
      </c>
    </row>
    <row r="11" spans="1:9" x14ac:dyDescent="0.35">
      <c r="A11">
        <v>2020</v>
      </c>
      <c r="B11" t="s">
        <v>55</v>
      </c>
      <c r="C11" s="11">
        <v>44166</v>
      </c>
      <c r="D11" t="s">
        <v>73</v>
      </c>
      <c r="E11">
        <v>17</v>
      </c>
      <c r="F11" t="s">
        <v>64</v>
      </c>
      <c r="G11" t="s">
        <v>65</v>
      </c>
      <c r="H11" t="s">
        <v>10</v>
      </c>
      <c r="I11" s="4">
        <v>260197.18</v>
      </c>
    </row>
    <row r="12" spans="1:9" x14ac:dyDescent="0.35">
      <c r="A12">
        <v>2020</v>
      </c>
      <c r="B12" t="s">
        <v>55</v>
      </c>
      <c r="C12" s="11">
        <v>44166</v>
      </c>
      <c r="D12" t="s">
        <v>75</v>
      </c>
      <c r="E12">
        <v>17</v>
      </c>
      <c r="F12" t="s">
        <v>64</v>
      </c>
      <c r="G12" t="s">
        <v>65</v>
      </c>
      <c r="H12" t="s">
        <v>16</v>
      </c>
      <c r="I12" s="4">
        <v>26019.599999999999</v>
      </c>
    </row>
    <row r="13" spans="1:9" x14ac:dyDescent="0.35">
      <c r="A13">
        <v>2020</v>
      </c>
      <c r="B13" t="s">
        <v>55</v>
      </c>
      <c r="C13" s="11">
        <v>44166</v>
      </c>
      <c r="D13" t="s">
        <v>76</v>
      </c>
      <c r="E13">
        <v>17</v>
      </c>
      <c r="F13" t="s">
        <v>64</v>
      </c>
      <c r="G13" t="s">
        <v>65</v>
      </c>
      <c r="H13" t="s">
        <v>13</v>
      </c>
      <c r="I13" s="4">
        <v>75456.87</v>
      </c>
    </row>
    <row r="14" spans="1:9" x14ac:dyDescent="0.35">
      <c r="A14">
        <v>2020</v>
      </c>
      <c r="B14" t="s">
        <v>55</v>
      </c>
      <c r="C14" s="11">
        <v>44166</v>
      </c>
      <c r="D14" t="s">
        <v>77</v>
      </c>
      <c r="E14">
        <v>17</v>
      </c>
      <c r="F14" t="s">
        <v>64</v>
      </c>
      <c r="G14" t="s">
        <v>65</v>
      </c>
      <c r="H14" t="s">
        <v>17</v>
      </c>
      <c r="I14" s="4">
        <v>8400</v>
      </c>
    </row>
    <row r="15" spans="1:9" x14ac:dyDescent="0.35">
      <c r="A15">
        <v>2020</v>
      </c>
      <c r="B15" t="s">
        <v>55</v>
      </c>
      <c r="C15" s="11">
        <v>44166</v>
      </c>
      <c r="D15" t="s">
        <v>92</v>
      </c>
      <c r="E15">
        <v>13</v>
      </c>
      <c r="F15" t="s">
        <v>92</v>
      </c>
      <c r="G15" t="s">
        <v>81</v>
      </c>
      <c r="I15" s="4">
        <v>2852.6</v>
      </c>
    </row>
    <row r="16" spans="1:9" x14ac:dyDescent="0.35">
      <c r="A16">
        <v>2020</v>
      </c>
      <c r="B16" t="s">
        <v>55</v>
      </c>
      <c r="C16" s="11">
        <v>44166</v>
      </c>
      <c r="D16" t="s">
        <v>93</v>
      </c>
      <c r="E16">
        <v>17</v>
      </c>
      <c r="F16" t="s">
        <v>92</v>
      </c>
      <c r="G16" t="s">
        <v>81</v>
      </c>
      <c r="H16" t="s">
        <v>28</v>
      </c>
      <c r="I16" s="4">
        <v>2852.6</v>
      </c>
    </row>
    <row r="17" spans="1:9" x14ac:dyDescent="0.35">
      <c r="A17">
        <v>2020</v>
      </c>
      <c r="B17" t="s">
        <v>55</v>
      </c>
      <c r="C17" s="11">
        <v>44166</v>
      </c>
      <c r="D17" t="s">
        <v>94</v>
      </c>
      <c r="E17">
        <v>13</v>
      </c>
      <c r="F17" t="s">
        <v>94</v>
      </c>
      <c r="G17" t="s">
        <v>95</v>
      </c>
      <c r="I17" s="4">
        <v>75612.91</v>
      </c>
    </row>
    <row r="18" spans="1:9" x14ac:dyDescent="0.35">
      <c r="A18">
        <v>2020</v>
      </c>
      <c r="B18" t="s">
        <v>55</v>
      </c>
      <c r="C18" s="11">
        <v>44166</v>
      </c>
      <c r="D18" t="s">
        <v>96</v>
      </c>
      <c r="E18">
        <v>13</v>
      </c>
      <c r="F18" t="s">
        <v>96</v>
      </c>
      <c r="G18" t="s">
        <v>97</v>
      </c>
      <c r="I18" s="4">
        <v>2575.83</v>
      </c>
    </row>
    <row r="19" spans="1:9" x14ac:dyDescent="0.35">
      <c r="A19">
        <v>2020</v>
      </c>
      <c r="B19" t="s">
        <v>55</v>
      </c>
      <c r="C19" s="11">
        <v>44166</v>
      </c>
      <c r="D19" t="s">
        <v>68</v>
      </c>
      <c r="E19">
        <v>17</v>
      </c>
      <c r="F19" t="s">
        <v>64</v>
      </c>
      <c r="G19" t="s">
        <v>65</v>
      </c>
      <c r="H19" t="s">
        <v>20</v>
      </c>
      <c r="I19" s="4">
        <v>124058.45000000001</v>
      </c>
    </row>
    <row r="20" spans="1:9" x14ac:dyDescent="0.35">
      <c r="A20">
        <v>2020</v>
      </c>
      <c r="B20" t="s">
        <v>55</v>
      </c>
      <c r="C20" s="11">
        <v>44166</v>
      </c>
      <c r="D20" t="s">
        <v>74</v>
      </c>
      <c r="E20">
        <v>17</v>
      </c>
      <c r="F20" t="s">
        <v>64</v>
      </c>
      <c r="G20" t="s">
        <v>65</v>
      </c>
      <c r="H20" t="s">
        <v>14</v>
      </c>
      <c r="I20" s="4">
        <v>41889.18</v>
      </c>
    </row>
    <row r="21" spans="1:9" x14ac:dyDescent="0.35">
      <c r="A21">
        <v>2020</v>
      </c>
      <c r="B21" t="s">
        <v>55</v>
      </c>
      <c r="C21" s="11">
        <v>44166</v>
      </c>
      <c r="D21" t="s">
        <v>98</v>
      </c>
      <c r="E21">
        <v>17</v>
      </c>
      <c r="F21" t="s">
        <v>94</v>
      </c>
      <c r="G21" t="s">
        <v>95</v>
      </c>
      <c r="H21" t="s">
        <v>39</v>
      </c>
      <c r="I21" s="4">
        <v>236.98</v>
      </c>
    </row>
    <row r="22" spans="1:9" x14ac:dyDescent="0.35">
      <c r="A22">
        <v>2020</v>
      </c>
      <c r="B22" t="s">
        <v>55</v>
      </c>
      <c r="C22" s="11">
        <v>44166</v>
      </c>
      <c r="D22" t="s">
        <v>99</v>
      </c>
      <c r="E22">
        <v>17</v>
      </c>
      <c r="F22" t="s">
        <v>94</v>
      </c>
      <c r="G22" t="s">
        <v>95</v>
      </c>
      <c r="H22" t="s">
        <v>100</v>
      </c>
      <c r="I22" s="4">
        <v>62513.16</v>
      </c>
    </row>
    <row r="23" spans="1:9" x14ac:dyDescent="0.35">
      <c r="A23">
        <v>2020</v>
      </c>
      <c r="B23" t="s">
        <v>55</v>
      </c>
      <c r="C23" s="11">
        <v>44166</v>
      </c>
      <c r="D23" t="s">
        <v>101</v>
      </c>
      <c r="E23">
        <v>17</v>
      </c>
      <c r="F23" t="s">
        <v>94</v>
      </c>
      <c r="G23" t="s">
        <v>95</v>
      </c>
      <c r="H23" t="s">
        <v>102</v>
      </c>
      <c r="I23" s="4">
        <v>12862.77</v>
      </c>
    </row>
    <row r="24" spans="1:9" x14ac:dyDescent="0.35">
      <c r="A24">
        <v>2020</v>
      </c>
      <c r="B24" t="s">
        <v>55</v>
      </c>
      <c r="C24" s="11">
        <v>44166</v>
      </c>
      <c r="D24" t="s">
        <v>103</v>
      </c>
      <c r="E24">
        <v>17</v>
      </c>
      <c r="F24" t="s">
        <v>96</v>
      </c>
      <c r="G24" t="s">
        <v>97</v>
      </c>
      <c r="H24" t="s">
        <v>41</v>
      </c>
      <c r="I24" s="4">
        <v>2575.83</v>
      </c>
    </row>
    <row r="25" spans="1:9" x14ac:dyDescent="0.35">
      <c r="A25">
        <v>2021</v>
      </c>
      <c r="B25" t="s">
        <v>44</v>
      </c>
      <c r="C25" s="11">
        <v>44197</v>
      </c>
      <c r="D25" t="s">
        <v>64</v>
      </c>
      <c r="E25">
        <v>13</v>
      </c>
      <c r="F25" t="s">
        <v>64</v>
      </c>
      <c r="G25" t="s">
        <v>65</v>
      </c>
      <c r="I25" s="4">
        <v>317131.38</v>
      </c>
    </row>
    <row r="26" spans="1:9" x14ac:dyDescent="0.35">
      <c r="A26">
        <v>2021</v>
      </c>
      <c r="B26" t="s">
        <v>44</v>
      </c>
      <c r="C26" s="11">
        <v>44197</v>
      </c>
      <c r="D26" t="s">
        <v>66</v>
      </c>
      <c r="E26">
        <v>17</v>
      </c>
      <c r="F26" t="s">
        <v>64</v>
      </c>
      <c r="G26" t="s">
        <v>65</v>
      </c>
      <c r="H26" t="s">
        <v>15</v>
      </c>
      <c r="I26" s="4">
        <v>216359.83</v>
      </c>
    </row>
    <row r="27" spans="1:9" x14ac:dyDescent="0.35">
      <c r="A27">
        <v>2021</v>
      </c>
      <c r="B27" t="s">
        <v>44</v>
      </c>
      <c r="C27" s="11">
        <v>44197</v>
      </c>
      <c r="D27" t="s">
        <v>67</v>
      </c>
      <c r="E27">
        <v>17</v>
      </c>
      <c r="F27" t="s">
        <v>64</v>
      </c>
      <c r="G27" t="s">
        <v>65</v>
      </c>
      <c r="H27" t="s">
        <v>19</v>
      </c>
      <c r="I27" s="4">
        <v>0</v>
      </c>
    </row>
    <row r="28" spans="1:9" x14ac:dyDescent="0.35">
      <c r="A28">
        <v>2021</v>
      </c>
      <c r="B28" t="s">
        <v>44</v>
      </c>
      <c r="C28" s="11">
        <v>44197</v>
      </c>
      <c r="D28" t="s">
        <v>69</v>
      </c>
      <c r="E28">
        <v>17</v>
      </c>
      <c r="F28" t="s">
        <v>64</v>
      </c>
      <c r="G28" t="s">
        <v>65</v>
      </c>
      <c r="H28" t="s">
        <v>23</v>
      </c>
      <c r="I28" s="4">
        <v>0</v>
      </c>
    </row>
    <row r="29" spans="1:9" x14ac:dyDescent="0.35">
      <c r="A29">
        <v>2021</v>
      </c>
      <c r="B29" t="s">
        <v>44</v>
      </c>
      <c r="C29" s="11">
        <v>44197</v>
      </c>
      <c r="D29" t="s">
        <v>70</v>
      </c>
      <c r="E29">
        <v>17</v>
      </c>
      <c r="F29" t="s">
        <v>64</v>
      </c>
      <c r="G29" t="s">
        <v>65</v>
      </c>
      <c r="H29" t="s">
        <v>11</v>
      </c>
      <c r="I29" s="4">
        <v>17308.59</v>
      </c>
    </row>
    <row r="30" spans="1:9" x14ac:dyDescent="0.35">
      <c r="A30">
        <v>2021</v>
      </c>
      <c r="B30" t="s">
        <v>44</v>
      </c>
      <c r="C30" s="11">
        <v>44197</v>
      </c>
      <c r="D30" t="s">
        <v>71</v>
      </c>
      <c r="E30">
        <v>17</v>
      </c>
      <c r="F30" t="s">
        <v>64</v>
      </c>
      <c r="G30" t="s">
        <v>65</v>
      </c>
      <c r="H30" t="s">
        <v>12</v>
      </c>
      <c r="I30" s="4">
        <v>2163.5700000000002</v>
      </c>
    </row>
    <row r="31" spans="1:9" x14ac:dyDescent="0.35">
      <c r="A31">
        <v>2021</v>
      </c>
      <c r="B31" t="s">
        <v>44</v>
      </c>
      <c r="C31" s="11">
        <v>44197</v>
      </c>
      <c r="D31" t="s">
        <v>72</v>
      </c>
      <c r="E31">
        <v>17</v>
      </c>
      <c r="F31" t="s">
        <v>64</v>
      </c>
      <c r="G31" t="s">
        <v>65</v>
      </c>
      <c r="H31" t="s">
        <v>18</v>
      </c>
      <c r="I31" s="4">
        <v>408</v>
      </c>
    </row>
    <row r="32" spans="1:9" x14ac:dyDescent="0.35">
      <c r="A32">
        <v>2021</v>
      </c>
      <c r="B32" t="s">
        <v>44</v>
      </c>
      <c r="C32" s="11">
        <v>44197</v>
      </c>
      <c r="D32" t="s">
        <v>73</v>
      </c>
      <c r="E32">
        <v>17</v>
      </c>
      <c r="F32" t="s">
        <v>64</v>
      </c>
      <c r="G32" t="s">
        <v>65</v>
      </c>
      <c r="H32" t="s">
        <v>10</v>
      </c>
      <c r="I32" s="4">
        <v>43271.98</v>
      </c>
    </row>
    <row r="33" spans="1:9" x14ac:dyDescent="0.35">
      <c r="A33">
        <v>2021</v>
      </c>
      <c r="B33" t="s">
        <v>44</v>
      </c>
      <c r="C33" s="11">
        <v>44197</v>
      </c>
      <c r="D33" t="s">
        <v>75</v>
      </c>
      <c r="E33">
        <v>17</v>
      </c>
      <c r="F33" t="s">
        <v>64</v>
      </c>
      <c r="G33" t="s">
        <v>65</v>
      </c>
      <c r="H33" t="s">
        <v>16</v>
      </c>
      <c r="I33" s="4">
        <v>4327.18</v>
      </c>
    </row>
    <row r="34" spans="1:9" x14ac:dyDescent="0.35">
      <c r="A34">
        <v>2021</v>
      </c>
      <c r="B34" t="s">
        <v>44</v>
      </c>
      <c r="C34" s="11">
        <v>44197</v>
      </c>
      <c r="D34" t="s">
        <v>76</v>
      </c>
      <c r="E34">
        <v>17</v>
      </c>
      <c r="F34" t="s">
        <v>64</v>
      </c>
      <c r="G34" t="s">
        <v>65</v>
      </c>
      <c r="H34" t="s">
        <v>13</v>
      </c>
      <c r="I34" s="4">
        <v>12548.82</v>
      </c>
    </row>
    <row r="35" spans="1:9" x14ac:dyDescent="0.35">
      <c r="A35">
        <v>2021</v>
      </c>
      <c r="B35" t="s">
        <v>44</v>
      </c>
      <c r="C35" s="11">
        <v>44197</v>
      </c>
      <c r="D35" t="s">
        <v>77</v>
      </c>
      <c r="E35">
        <v>17</v>
      </c>
      <c r="F35" t="s">
        <v>64</v>
      </c>
      <c r="G35" t="s">
        <v>65</v>
      </c>
      <c r="H35" t="s">
        <v>17</v>
      </c>
      <c r="I35" s="4">
        <v>9020</v>
      </c>
    </row>
    <row r="36" spans="1:9" x14ac:dyDescent="0.35">
      <c r="A36">
        <v>2021</v>
      </c>
      <c r="B36" t="s">
        <v>44</v>
      </c>
      <c r="C36" s="11">
        <v>44197</v>
      </c>
      <c r="D36" t="s">
        <v>92</v>
      </c>
      <c r="E36">
        <v>13</v>
      </c>
      <c r="F36" t="s">
        <v>92</v>
      </c>
      <c r="G36" t="s">
        <v>81</v>
      </c>
      <c r="I36" s="4">
        <v>0</v>
      </c>
    </row>
    <row r="37" spans="1:9" x14ac:dyDescent="0.35">
      <c r="A37">
        <v>2021</v>
      </c>
      <c r="B37" t="s">
        <v>44</v>
      </c>
      <c r="C37" s="11">
        <v>44197</v>
      </c>
      <c r="D37" t="s">
        <v>93</v>
      </c>
      <c r="E37">
        <v>17</v>
      </c>
      <c r="F37" t="s">
        <v>92</v>
      </c>
      <c r="G37" t="s">
        <v>81</v>
      </c>
      <c r="H37" t="s">
        <v>28</v>
      </c>
      <c r="I37" s="4">
        <v>0</v>
      </c>
    </row>
    <row r="38" spans="1:9" x14ac:dyDescent="0.35">
      <c r="A38">
        <v>2021</v>
      </c>
      <c r="B38" t="s">
        <v>44</v>
      </c>
      <c r="C38" s="11">
        <v>44197</v>
      </c>
      <c r="D38" t="s">
        <v>94</v>
      </c>
      <c r="E38">
        <v>13</v>
      </c>
      <c r="F38" t="s">
        <v>94</v>
      </c>
      <c r="G38" t="s">
        <v>95</v>
      </c>
      <c r="I38" s="4">
        <v>6976.34</v>
      </c>
    </row>
    <row r="39" spans="1:9" x14ac:dyDescent="0.35">
      <c r="A39">
        <v>2021</v>
      </c>
      <c r="B39" t="s">
        <v>44</v>
      </c>
      <c r="C39" s="11">
        <v>44197</v>
      </c>
      <c r="D39" t="s">
        <v>104</v>
      </c>
      <c r="E39">
        <v>13</v>
      </c>
      <c r="F39" t="s">
        <v>104</v>
      </c>
      <c r="G39" t="s">
        <v>105</v>
      </c>
      <c r="I39" s="4">
        <v>61911.6</v>
      </c>
    </row>
    <row r="40" spans="1:9" x14ac:dyDescent="0.35">
      <c r="A40">
        <v>2021</v>
      </c>
      <c r="B40" t="s">
        <v>44</v>
      </c>
      <c r="C40" s="11">
        <v>44197</v>
      </c>
      <c r="D40" t="s">
        <v>106</v>
      </c>
      <c r="E40">
        <v>17</v>
      </c>
      <c r="F40" t="s">
        <v>104</v>
      </c>
      <c r="G40" t="s">
        <v>105</v>
      </c>
      <c r="H40" t="s">
        <v>19</v>
      </c>
      <c r="I40" s="4">
        <v>18954.62</v>
      </c>
    </row>
    <row r="41" spans="1:9" x14ac:dyDescent="0.35">
      <c r="A41">
        <v>2021</v>
      </c>
      <c r="B41" t="s">
        <v>44</v>
      </c>
      <c r="C41" s="11">
        <v>44197</v>
      </c>
      <c r="D41" t="s">
        <v>107</v>
      </c>
      <c r="E41">
        <v>17</v>
      </c>
      <c r="F41" t="s">
        <v>104</v>
      </c>
      <c r="G41" t="s">
        <v>105</v>
      </c>
      <c r="H41" t="s">
        <v>20</v>
      </c>
      <c r="I41" s="4">
        <v>26302.28</v>
      </c>
    </row>
    <row r="42" spans="1:9" x14ac:dyDescent="0.35">
      <c r="A42">
        <v>2021</v>
      </c>
      <c r="B42" t="s">
        <v>44</v>
      </c>
      <c r="C42" s="11">
        <v>44197</v>
      </c>
      <c r="D42" t="s">
        <v>108</v>
      </c>
      <c r="E42">
        <v>17</v>
      </c>
      <c r="F42" t="s">
        <v>104</v>
      </c>
      <c r="G42" t="s">
        <v>105</v>
      </c>
      <c r="H42" t="s">
        <v>21</v>
      </c>
      <c r="I42" s="4">
        <v>6975.38</v>
      </c>
    </row>
    <row r="43" spans="1:9" x14ac:dyDescent="0.35">
      <c r="A43">
        <v>2021</v>
      </c>
      <c r="B43" t="s">
        <v>44</v>
      </c>
      <c r="C43" s="11">
        <v>44197</v>
      </c>
      <c r="D43" t="s">
        <v>109</v>
      </c>
      <c r="E43">
        <v>17</v>
      </c>
      <c r="F43" t="s">
        <v>104</v>
      </c>
      <c r="G43" t="s">
        <v>105</v>
      </c>
      <c r="H43" t="s">
        <v>22</v>
      </c>
      <c r="I43" s="4">
        <v>9679.32</v>
      </c>
    </row>
    <row r="44" spans="1:9" x14ac:dyDescent="0.35">
      <c r="A44">
        <v>2021</v>
      </c>
      <c r="B44" t="s">
        <v>44</v>
      </c>
      <c r="C44" s="11">
        <v>44197</v>
      </c>
      <c r="D44" t="s">
        <v>96</v>
      </c>
      <c r="E44">
        <v>13</v>
      </c>
      <c r="F44" t="s">
        <v>96</v>
      </c>
      <c r="G44" t="s">
        <v>97</v>
      </c>
      <c r="I44" s="4">
        <v>0</v>
      </c>
    </row>
    <row r="45" spans="1:9" x14ac:dyDescent="0.35">
      <c r="A45">
        <v>2021</v>
      </c>
      <c r="B45" t="s">
        <v>44</v>
      </c>
      <c r="C45" s="11">
        <v>44197</v>
      </c>
      <c r="D45" t="s">
        <v>110</v>
      </c>
      <c r="E45">
        <v>13</v>
      </c>
      <c r="F45" t="s">
        <v>110</v>
      </c>
      <c r="G45" t="s">
        <v>111</v>
      </c>
      <c r="I45" s="4">
        <v>7113.95</v>
      </c>
    </row>
    <row r="46" spans="1:9" x14ac:dyDescent="0.35">
      <c r="A46">
        <v>2021</v>
      </c>
      <c r="B46" t="s">
        <v>44</v>
      </c>
      <c r="C46" s="11">
        <v>44197</v>
      </c>
      <c r="D46" t="s">
        <v>112</v>
      </c>
      <c r="E46">
        <v>17</v>
      </c>
      <c r="F46" t="s">
        <v>110</v>
      </c>
      <c r="G46" t="s">
        <v>111</v>
      </c>
      <c r="H46" t="s">
        <v>40</v>
      </c>
      <c r="I46" s="4">
        <v>7113.95</v>
      </c>
    </row>
    <row r="47" spans="1:9" x14ac:dyDescent="0.35">
      <c r="A47">
        <v>2021</v>
      </c>
      <c r="B47" t="s">
        <v>44</v>
      </c>
      <c r="C47" s="11">
        <v>44197</v>
      </c>
      <c r="D47" t="s">
        <v>68</v>
      </c>
      <c r="E47">
        <v>17</v>
      </c>
      <c r="F47" t="s">
        <v>64</v>
      </c>
      <c r="G47" t="s">
        <v>65</v>
      </c>
      <c r="H47" t="s">
        <v>20</v>
      </c>
      <c r="I47" s="4">
        <v>0</v>
      </c>
    </row>
    <row r="48" spans="1:9" x14ac:dyDescent="0.35">
      <c r="A48">
        <v>2021</v>
      </c>
      <c r="B48" t="s">
        <v>44</v>
      </c>
      <c r="C48" s="11">
        <v>44197</v>
      </c>
      <c r="D48" t="s">
        <v>74</v>
      </c>
      <c r="E48">
        <v>17</v>
      </c>
      <c r="F48" t="s">
        <v>64</v>
      </c>
      <c r="G48" t="s">
        <v>65</v>
      </c>
      <c r="H48" t="s">
        <v>14</v>
      </c>
      <c r="I48" s="4">
        <v>11723.41</v>
      </c>
    </row>
    <row r="49" spans="1:9" x14ac:dyDescent="0.35">
      <c r="A49">
        <v>2021</v>
      </c>
      <c r="B49" t="s">
        <v>44</v>
      </c>
      <c r="C49" s="11">
        <v>44197</v>
      </c>
      <c r="D49" t="s">
        <v>98</v>
      </c>
      <c r="E49">
        <v>17</v>
      </c>
      <c r="F49" t="s">
        <v>94</v>
      </c>
      <c r="G49" t="s">
        <v>95</v>
      </c>
      <c r="H49" t="s">
        <v>39</v>
      </c>
      <c r="I49" s="4">
        <v>1019.03</v>
      </c>
    </row>
    <row r="50" spans="1:9" x14ac:dyDescent="0.35">
      <c r="A50">
        <v>2021</v>
      </c>
      <c r="B50" t="s">
        <v>44</v>
      </c>
      <c r="C50" s="11">
        <v>44197</v>
      </c>
      <c r="D50" t="s">
        <v>99</v>
      </c>
      <c r="E50">
        <v>17</v>
      </c>
      <c r="F50" t="s">
        <v>94</v>
      </c>
      <c r="G50" t="s">
        <v>95</v>
      </c>
      <c r="H50" t="s">
        <v>100</v>
      </c>
      <c r="I50" s="4">
        <v>5957.31</v>
      </c>
    </row>
    <row r="51" spans="1:9" x14ac:dyDescent="0.35">
      <c r="A51">
        <v>2021</v>
      </c>
      <c r="B51" t="s">
        <v>44</v>
      </c>
      <c r="C51" s="11">
        <v>44197</v>
      </c>
      <c r="D51" t="s">
        <v>101</v>
      </c>
      <c r="E51">
        <v>17</v>
      </c>
      <c r="F51" t="s">
        <v>94</v>
      </c>
      <c r="G51" t="s">
        <v>95</v>
      </c>
      <c r="H51" t="s">
        <v>102</v>
      </c>
      <c r="I51" s="4">
        <v>0</v>
      </c>
    </row>
    <row r="52" spans="1:9" x14ac:dyDescent="0.35">
      <c r="A52">
        <v>2021</v>
      </c>
      <c r="B52" t="s">
        <v>44</v>
      </c>
      <c r="C52" s="11">
        <v>44197</v>
      </c>
      <c r="D52" t="s">
        <v>103</v>
      </c>
      <c r="E52">
        <v>17</v>
      </c>
      <c r="F52" t="s">
        <v>96</v>
      </c>
      <c r="G52" t="s">
        <v>97</v>
      </c>
      <c r="H52" t="s">
        <v>41</v>
      </c>
      <c r="I52" s="4">
        <v>0</v>
      </c>
    </row>
    <row r="53" spans="1:9" x14ac:dyDescent="0.35">
      <c r="A53">
        <v>2021</v>
      </c>
      <c r="B53" t="s">
        <v>45</v>
      </c>
      <c r="C53" s="11">
        <v>44228</v>
      </c>
      <c r="D53" t="s">
        <v>64</v>
      </c>
      <c r="E53">
        <v>13</v>
      </c>
      <c r="F53" t="s">
        <v>64</v>
      </c>
      <c r="G53" t="s">
        <v>65</v>
      </c>
      <c r="I53" s="4">
        <v>319994.11</v>
      </c>
    </row>
    <row r="54" spans="1:9" x14ac:dyDescent="0.35">
      <c r="A54">
        <v>2021</v>
      </c>
      <c r="B54" t="s">
        <v>45</v>
      </c>
      <c r="C54" s="11">
        <v>44228</v>
      </c>
      <c r="D54" t="s">
        <v>66</v>
      </c>
      <c r="E54">
        <v>17</v>
      </c>
      <c r="F54" t="s">
        <v>64</v>
      </c>
      <c r="G54" t="s">
        <v>65</v>
      </c>
      <c r="H54" t="s">
        <v>15</v>
      </c>
      <c r="I54" s="4">
        <v>217019.51</v>
      </c>
    </row>
    <row r="55" spans="1:9" x14ac:dyDescent="0.35">
      <c r="A55">
        <v>2021</v>
      </c>
      <c r="B55" t="s">
        <v>45</v>
      </c>
      <c r="C55" s="11">
        <v>44228</v>
      </c>
      <c r="D55" t="s">
        <v>70</v>
      </c>
      <c r="E55">
        <v>17</v>
      </c>
      <c r="F55" t="s">
        <v>64</v>
      </c>
      <c r="G55" t="s">
        <v>65</v>
      </c>
      <c r="H55" t="s">
        <v>11</v>
      </c>
      <c r="I55" s="4">
        <v>17361.349999999999</v>
      </c>
    </row>
    <row r="56" spans="1:9" x14ac:dyDescent="0.35">
      <c r="A56">
        <v>2021</v>
      </c>
      <c r="B56" t="s">
        <v>45</v>
      </c>
      <c r="C56" s="11">
        <v>44228</v>
      </c>
      <c r="D56" t="s">
        <v>71</v>
      </c>
      <c r="E56">
        <v>17</v>
      </c>
      <c r="F56" t="s">
        <v>64</v>
      </c>
      <c r="G56" t="s">
        <v>65</v>
      </c>
      <c r="H56" t="s">
        <v>12</v>
      </c>
      <c r="I56" s="4">
        <v>2170.15</v>
      </c>
    </row>
    <row r="57" spans="1:9" x14ac:dyDescent="0.35">
      <c r="A57">
        <v>2021</v>
      </c>
      <c r="B57" t="s">
        <v>45</v>
      </c>
      <c r="C57" s="11">
        <v>44228</v>
      </c>
      <c r="D57" t="s">
        <v>72</v>
      </c>
      <c r="E57">
        <v>17</v>
      </c>
      <c r="F57" t="s">
        <v>64</v>
      </c>
      <c r="G57" t="s">
        <v>65</v>
      </c>
      <c r="H57" t="s">
        <v>18</v>
      </c>
      <c r="I57" s="4">
        <v>144</v>
      </c>
    </row>
    <row r="58" spans="1:9" x14ac:dyDescent="0.35">
      <c r="A58">
        <v>2021</v>
      </c>
      <c r="B58" t="s">
        <v>45</v>
      </c>
      <c r="C58" s="11">
        <v>44228</v>
      </c>
      <c r="D58" t="s">
        <v>73</v>
      </c>
      <c r="E58">
        <v>17</v>
      </c>
      <c r="F58" t="s">
        <v>64</v>
      </c>
      <c r="G58" t="s">
        <v>65</v>
      </c>
      <c r="H58" t="s">
        <v>10</v>
      </c>
      <c r="I58" s="4">
        <v>43403.92</v>
      </c>
    </row>
    <row r="59" spans="1:9" x14ac:dyDescent="0.35">
      <c r="A59">
        <v>2021</v>
      </c>
      <c r="B59" t="s">
        <v>45</v>
      </c>
      <c r="C59" s="11">
        <v>44228</v>
      </c>
      <c r="D59" t="s">
        <v>75</v>
      </c>
      <c r="E59">
        <v>17</v>
      </c>
      <c r="F59" t="s">
        <v>64</v>
      </c>
      <c r="G59" t="s">
        <v>65</v>
      </c>
      <c r="H59" t="s">
        <v>16</v>
      </c>
      <c r="I59" s="4">
        <v>4340.38</v>
      </c>
    </row>
    <row r="60" spans="1:9" x14ac:dyDescent="0.35">
      <c r="A60">
        <v>2021</v>
      </c>
      <c r="B60" t="s">
        <v>45</v>
      </c>
      <c r="C60" s="11">
        <v>44228</v>
      </c>
      <c r="D60" t="s">
        <v>76</v>
      </c>
      <c r="E60">
        <v>17</v>
      </c>
      <c r="F60" t="s">
        <v>64</v>
      </c>
      <c r="G60" t="s">
        <v>65</v>
      </c>
      <c r="H60" t="s">
        <v>13</v>
      </c>
      <c r="I60" s="4">
        <v>12587.09</v>
      </c>
    </row>
    <row r="61" spans="1:9" x14ac:dyDescent="0.35">
      <c r="A61">
        <v>2021</v>
      </c>
      <c r="B61" t="s">
        <v>45</v>
      </c>
      <c r="C61" s="11">
        <v>44228</v>
      </c>
      <c r="D61" t="s">
        <v>77</v>
      </c>
      <c r="E61">
        <v>17</v>
      </c>
      <c r="F61" t="s">
        <v>64</v>
      </c>
      <c r="G61" t="s">
        <v>65</v>
      </c>
      <c r="H61" t="s">
        <v>17</v>
      </c>
      <c r="I61" s="4">
        <v>9620</v>
      </c>
    </row>
    <row r="62" spans="1:9" x14ac:dyDescent="0.35">
      <c r="A62">
        <v>2021</v>
      </c>
      <c r="B62" t="s">
        <v>45</v>
      </c>
      <c r="C62" s="11">
        <v>44228</v>
      </c>
      <c r="D62" t="s">
        <v>92</v>
      </c>
      <c r="E62">
        <v>13</v>
      </c>
      <c r="F62" t="s">
        <v>92</v>
      </c>
      <c r="G62" t="s">
        <v>81</v>
      </c>
      <c r="I62" s="4">
        <v>33245</v>
      </c>
    </row>
    <row r="63" spans="1:9" x14ac:dyDescent="0.35">
      <c r="A63">
        <v>2021</v>
      </c>
      <c r="B63" t="s">
        <v>45</v>
      </c>
      <c r="C63" s="11">
        <v>44228</v>
      </c>
      <c r="D63" t="s">
        <v>94</v>
      </c>
      <c r="E63">
        <v>13</v>
      </c>
      <c r="F63" t="s">
        <v>94</v>
      </c>
      <c r="G63" t="s">
        <v>95</v>
      </c>
      <c r="I63" s="4">
        <v>77227.62</v>
      </c>
    </row>
    <row r="64" spans="1:9" x14ac:dyDescent="0.35">
      <c r="A64">
        <v>2021</v>
      </c>
      <c r="B64" t="s">
        <v>45</v>
      </c>
      <c r="C64" s="11">
        <v>44228</v>
      </c>
      <c r="D64" t="s">
        <v>104</v>
      </c>
      <c r="E64">
        <v>13</v>
      </c>
      <c r="F64" t="s">
        <v>104</v>
      </c>
      <c r="G64" t="s">
        <v>105</v>
      </c>
      <c r="I64" s="4">
        <v>50810.68</v>
      </c>
    </row>
    <row r="65" spans="1:9" x14ac:dyDescent="0.35">
      <c r="A65">
        <v>2021</v>
      </c>
      <c r="B65" t="s">
        <v>45</v>
      </c>
      <c r="C65" s="11">
        <v>44228</v>
      </c>
      <c r="D65" t="s">
        <v>106</v>
      </c>
      <c r="E65">
        <v>17</v>
      </c>
      <c r="F65" t="s">
        <v>104</v>
      </c>
      <c r="G65" t="s">
        <v>105</v>
      </c>
      <c r="H65" t="s">
        <v>19</v>
      </c>
      <c r="I65" s="4">
        <v>18975.849999999999</v>
      </c>
    </row>
    <row r="66" spans="1:9" x14ac:dyDescent="0.35">
      <c r="A66">
        <v>2021</v>
      </c>
      <c r="B66" t="s">
        <v>45</v>
      </c>
      <c r="C66" s="11">
        <v>44228</v>
      </c>
      <c r="D66" t="s">
        <v>107</v>
      </c>
      <c r="E66">
        <v>17</v>
      </c>
      <c r="F66" t="s">
        <v>104</v>
      </c>
      <c r="G66" t="s">
        <v>105</v>
      </c>
      <c r="H66" t="s">
        <v>20</v>
      </c>
      <c r="I66" s="4">
        <v>18334.45</v>
      </c>
    </row>
    <row r="67" spans="1:9" x14ac:dyDescent="0.35">
      <c r="A67">
        <v>2021</v>
      </c>
      <c r="B67" t="s">
        <v>45</v>
      </c>
      <c r="C67" s="11">
        <v>44228</v>
      </c>
      <c r="D67" t="s">
        <v>108</v>
      </c>
      <c r="E67">
        <v>17</v>
      </c>
      <c r="F67" t="s">
        <v>104</v>
      </c>
      <c r="G67" t="s">
        <v>105</v>
      </c>
      <c r="H67" t="s">
        <v>21</v>
      </c>
      <c r="I67" s="4">
        <v>6982.88</v>
      </c>
    </row>
    <row r="68" spans="1:9" x14ac:dyDescent="0.35">
      <c r="A68">
        <v>2021</v>
      </c>
      <c r="B68" t="s">
        <v>45</v>
      </c>
      <c r="C68" s="11">
        <v>44228</v>
      </c>
      <c r="D68" t="s">
        <v>109</v>
      </c>
      <c r="E68">
        <v>17</v>
      </c>
      <c r="F68" t="s">
        <v>104</v>
      </c>
      <c r="G68" t="s">
        <v>105</v>
      </c>
      <c r="H68" t="s">
        <v>22</v>
      </c>
      <c r="I68" s="4">
        <v>6517.5</v>
      </c>
    </row>
    <row r="69" spans="1:9" x14ac:dyDescent="0.35">
      <c r="A69">
        <v>2021</v>
      </c>
      <c r="B69" t="s">
        <v>45</v>
      </c>
      <c r="C69" s="11">
        <v>44228</v>
      </c>
      <c r="D69" t="s">
        <v>110</v>
      </c>
      <c r="E69">
        <v>13</v>
      </c>
      <c r="F69" t="s">
        <v>110</v>
      </c>
      <c r="G69" t="s">
        <v>111</v>
      </c>
      <c r="I69" s="4">
        <v>0</v>
      </c>
    </row>
    <row r="70" spans="1:9" x14ac:dyDescent="0.35">
      <c r="A70">
        <v>2021</v>
      </c>
      <c r="B70" t="s">
        <v>45</v>
      </c>
      <c r="C70" s="11">
        <v>44228</v>
      </c>
      <c r="D70" t="s">
        <v>112</v>
      </c>
      <c r="E70">
        <v>17</v>
      </c>
      <c r="F70" t="s">
        <v>110</v>
      </c>
      <c r="G70" t="s">
        <v>111</v>
      </c>
      <c r="H70" t="s">
        <v>40</v>
      </c>
      <c r="I70" s="4">
        <v>0</v>
      </c>
    </row>
    <row r="71" spans="1:9" x14ac:dyDescent="0.35">
      <c r="A71">
        <v>2021</v>
      </c>
      <c r="B71" t="s">
        <v>45</v>
      </c>
      <c r="C71" s="11">
        <v>44228</v>
      </c>
      <c r="D71" t="s">
        <v>74</v>
      </c>
      <c r="E71">
        <v>17</v>
      </c>
      <c r="F71" t="s">
        <v>64</v>
      </c>
      <c r="G71" t="s">
        <v>65</v>
      </c>
      <c r="H71" t="s">
        <v>14</v>
      </c>
      <c r="I71" s="4">
        <v>13347.71</v>
      </c>
    </row>
    <row r="72" spans="1:9" x14ac:dyDescent="0.35">
      <c r="A72">
        <v>2021</v>
      </c>
      <c r="B72" t="s">
        <v>45</v>
      </c>
      <c r="C72" s="11">
        <v>44228</v>
      </c>
      <c r="D72" t="s">
        <v>98</v>
      </c>
      <c r="E72">
        <v>17</v>
      </c>
      <c r="F72" t="s">
        <v>94</v>
      </c>
      <c r="G72" t="s">
        <v>95</v>
      </c>
      <c r="H72" t="s">
        <v>39</v>
      </c>
      <c r="I72" s="4">
        <v>251.55</v>
      </c>
    </row>
    <row r="73" spans="1:9" x14ac:dyDescent="0.35">
      <c r="A73">
        <v>2021</v>
      </c>
      <c r="B73" t="s">
        <v>45</v>
      </c>
      <c r="C73" s="11">
        <v>44228</v>
      </c>
      <c r="D73" t="s">
        <v>99</v>
      </c>
      <c r="E73">
        <v>17</v>
      </c>
      <c r="F73" t="s">
        <v>94</v>
      </c>
      <c r="G73" t="s">
        <v>95</v>
      </c>
      <c r="H73" t="s">
        <v>100</v>
      </c>
      <c r="I73" s="4">
        <v>76976.070000000007</v>
      </c>
    </row>
    <row r="74" spans="1:9" x14ac:dyDescent="0.35">
      <c r="A74">
        <v>2021</v>
      </c>
      <c r="B74" t="s">
        <v>45</v>
      </c>
      <c r="C74" s="11">
        <v>44228</v>
      </c>
      <c r="D74" t="s">
        <v>113</v>
      </c>
      <c r="E74">
        <v>17</v>
      </c>
      <c r="F74" t="s">
        <v>92</v>
      </c>
      <c r="G74" t="s">
        <v>81</v>
      </c>
      <c r="H74" t="s">
        <v>30</v>
      </c>
      <c r="I74" s="4">
        <v>33245</v>
      </c>
    </row>
    <row r="75" spans="1:9" x14ac:dyDescent="0.35">
      <c r="B75"/>
      <c r="E75"/>
    </row>
    <row r="76" spans="1:9" x14ac:dyDescent="0.35">
      <c r="B76"/>
      <c r="E76"/>
    </row>
    <row r="77" spans="1:9" x14ac:dyDescent="0.35">
      <c r="B77"/>
      <c r="E77"/>
    </row>
    <row r="78" spans="1:9" x14ac:dyDescent="0.35">
      <c r="B78"/>
      <c r="E78"/>
    </row>
    <row r="79" spans="1:9" x14ac:dyDescent="0.35">
      <c r="B79"/>
      <c r="E79"/>
    </row>
    <row r="80" spans="1:9" x14ac:dyDescent="0.35">
      <c r="B80"/>
      <c r="E80"/>
    </row>
    <row r="81" spans="2:5" x14ac:dyDescent="0.35">
      <c r="B81"/>
      <c r="E81"/>
    </row>
    <row r="82" spans="2:5" x14ac:dyDescent="0.35">
      <c r="B82"/>
      <c r="E82"/>
    </row>
    <row r="83" spans="2:5" x14ac:dyDescent="0.35">
      <c r="B83"/>
      <c r="E83"/>
    </row>
    <row r="84" spans="2:5" x14ac:dyDescent="0.35">
      <c r="B84"/>
      <c r="E84"/>
    </row>
    <row r="85" spans="2:5" x14ac:dyDescent="0.35">
      <c r="B85"/>
      <c r="E85"/>
    </row>
    <row r="86" spans="2:5" x14ac:dyDescent="0.35">
      <c r="B86"/>
      <c r="E86"/>
    </row>
    <row r="87" spans="2:5" x14ac:dyDescent="0.35">
      <c r="B87"/>
      <c r="E87"/>
    </row>
    <row r="88" spans="2:5" x14ac:dyDescent="0.35">
      <c r="B88"/>
      <c r="E88"/>
    </row>
    <row r="89" spans="2:5" x14ac:dyDescent="0.35">
      <c r="B89"/>
      <c r="E89"/>
    </row>
    <row r="90" spans="2:5" x14ac:dyDescent="0.35">
      <c r="B90"/>
      <c r="E90"/>
    </row>
    <row r="91" spans="2:5" x14ac:dyDescent="0.35">
      <c r="B91"/>
      <c r="E91"/>
    </row>
    <row r="92" spans="2:5" x14ac:dyDescent="0.35">
      <c r="B92"/>
      <c r="E92"/>
    </row>
    <row r="93" spans="2:5" x14ac:dyDescent="0.35">
      <c r="B93"/>
      <c r="E93"/>
    </row>
    <row r="94" spans="2:5" x14ac:dyDescent="0.35">
      <c r="B94"/>
      <c r="E94"/>
    </row>
    <row r="95" spans="2:5" x14ac:dyDescent="0.35">
      <c r="B95"/>
      <c r="E95"/>
    </row>
    <row r="96" spans="2:5" x14ac:dyDescent="0.35">
      <c r="B96"/>
      <c r="E96"/>
    </row>
    <row r="97" spans="2:5" x14ac:dyDescent="0.35">
      <c r="B97"/>
      <c r="E97"/>
    </row>
    <row r="98" spans="2:5" x14ac:dyDescent="0.35">
      <c r="B98"/>
      <c r="E98"/>
    </row>
    <row r="99" spans="2:5" x14ac:dyDescent="0.35">
      <c r="B99"/>
      <c r="E99"/>
    </row>
    <row r="100" spans="2:5" x14ac:dyDescent="0.35">
      <c r="B100"/>
      <c r="E100"/>
    </row>
    <row r="101" spans="2:5" x14ac:dyDescent="0.35">
      <c r="B101"/>
      <c r="E101"/>
    </row>
    <row r="102" spans="2:5" x14ac:dyDescent="0.35">
      <c r="B102"/>
      <c r="E102"/>
    </row>
    <row r="103" spans="2:5" x14ac:dyDescent="0.35">
      <c r="B103"/>
      <c r="E103"/>
    </row>
    <row r="104" spans="2:5" x14ac:dyDescent="0.35">
      <c r="B104"/>
      <c r="E104"/>
    </row>
    <row r="105" spans="2:5" x14ac:dyDescent="0.35">
      <c r="B105"/>
      <c r="E105"/>
    </row>
    <row r="106" spans="2:5" x14ac:dyDescent="0.35">
      <c r="B106"/>
      <c r="E106"/>
    </row>
    <row r="107" spans="2:5" x14ac:dyDescent="0.35">
      <c r="B107"/>
      <c r="E107"/>
    </row>
    <row r="108" spans="2:5" x14ac:dyDescent="0.35">
      <c r="B108"/>
      <c r="E108"/>
    </row>
    <row r="109" spans="2:5" x14ac:dyDescent="0.35">
      <c r="B109"/>
      <c r="E109"/>
    </row>
    <row r="110" spans="2:5" x14ac:dyDescent="0.35">
      <c r="B110"/>
      <c r="E110"/>
    </row>
    <row r="111" spans="2:5" x14ac:dyDescent="0.35">
      <c r="B111"/>
      <c r="E111"/>
    </row>
    <row r="112" spans="2:5" x14ac:dyDescent="0.35">
      <c r="B112"/>
      <c r="E112"/>
    </row>
    <row r="113" spans="2:5" x14ac:dyDescent="0.35">
      <c r="B113"/>
      <c r="E113"/>
    </row>
    <row r="114" spans="2:5" x14ac:dyDescent="0.35">
      <c r="B114"/>
      <c r="E114"/>
    </row>
    <row r="115" spans="2:5" x14ac:dyDescent="0.35">
      <c r="B115"/>
      <c r="E115"/>
    </row>
    <row r="116" spans="2:5" x14ac:dyDescent="0.35">
      <c r="B116"/>
      <c r="E116"/>
    </row>
    <row r="117" spans="2:5" x14ac:dyDescent="0.35">
      <c r="B117"/>
      <c r="E117"/>
    </row>
    <row r="118" spans="2:5" x14ac:dyDescent="0.35">
      <c r="B118"/>
      <c r="E118"/>
    </row>
    <row r="119" spans="2:5" x14ac:dyDescent="0.35">
      <c r="B119"/>
      <c r="E119"/>
    </row>
    <row r="120" spans="2:5" x14ac:dyDescent="0.35">
      <c r="B120"/>
      <c r="E120"/>
    </row>
    <row r="121" spans="2:5" x14ac:dyDescent="0.35">
      <c r="B121"/>
      <c r="E121"/>
    </row>
    <row r="122" spans="2:5" x14ac:dyDescent="0.35">
      <c r="B122"/>
      <c r="E122"/>
    </row>
    <row r="123" spans="2:5" x14ac:dyDescent="0.35">
      <c r="B123"/>
      <c r="E123"/>
    </row>
    <row r="124" spans="2:5" x14ac:dyDescent="0.35">
      <c r="B124"/>
      <c r="E124"/>
    </row>
    <row r="125" spans="2:5" x14ac:dyDescent="0.35">
      <c r="B125"/>
      <c r="E125"/>
    </row>
    <row r="126" spans="2:5" x14ac:dyDescent="0.35">
      <c r="B126"/>
      <c r="E126"/>
    </row>
    <row r="127" spans="2:5" x14ac:dyDescent="0.35">
      <c r="B127"/>
      <c r="E127"/>
    </row>
    <row r="128" spans="2:5" x14ac:dyDescent="0.35">
      <c r="B128"/>
      <c r="E128"/>
    </row>
    <row r="129" spans="2:5" x14ac:dyDescent="0.35">
      <c r="B129"/>
      <c r="E129"/>
    </row>
    <row r="130" spans="2:5" x14ac:dyDescent="0.35">
      <c r="B130"/>
      <c r="E130"/>
    </row>
    <row r="131" spans="2:5" x14ac:dyDescent="0.35">
      <c r="B131"/>
      <c r="E131"/>
    </row>
    <row r="132" spans="2:5" x14ac:dyDescent="0.35">
      <c r="B132"/>
      <c r="E132"/>
    </row>
    <row r="133" spans="2:5" x14ac:dyDescent="0.35">
      <c r="B133"/>
      <c r="E133"/>
    </row>
    <row r="134" spans="2:5" x14ac:dyDescent="0.35">
      <c r="B134"/>
      <c r="E134"/>
    </row>
    <row r="135" spans="2:5" x14ac:dyDescent="0.35">
      <c r="B135"/>
      <c r="E135"/>
    </row>
    <row r="136" spans="2:5" x14ac:dyDescent="0.35">
      <c r="B136"/>
      <c r="E136"/>
    </row>
    <row r="137" spans="2:5" x14ac:dyDescent="0.35">
      <c r="B137"/>
      <c r="E137"/>
    </row>
    <row r="138" spans="2:5" x14ac:dyDescent="0.35">
      <c r="B138"/>
      <c r="E138"/>
    </row>
    <row r="139" spans="2:5" x14ac:dyDescent="0.35">
      <c r="B139"/>
      <c r="E139"/>
    </row>
    <row r="140" spans="2:5" x14ac:dyDescent="0.35">
      <c r="B140"/>
      <c r="E140"/>
    </row>
    <row r="141" spans="2:5" x14ac:dyDescent="0.35">
      <c r="B141"/>
      <c r="E141"/>
    </row>
    <row r="142" spans="2:5" x14ac:dyDescent="0.35">
      <c r="B142"/>
      <c r="E142"/>
    </row>
    <row r="143" spans="2:5" x14ac:dyDescent="0.35">
      <c r="B143"/>
      <c r="E143"/>
    </row>
    <row r="144" spans="2:5" x14ac:dyDescent="0.35">
      <c r="B144"/>
      <c r="E144"/>
    </row>
    <row r="145" spans="2:5" x14ac:dyDescent="0.35">
      <c r="B145"/>
      <c r="E145"/>
    </row>
    <row r="146" spans="2:5" x14ac:dyDescent="0.35">
      <c r="B146"/>
      <c r="E146"/>
    </row>
    <row r="147" spans="2:5" x14ac:dyDescent="0.35">
      <c r="B147"/>
      <c r="E147"/>
    </row>
    <row r="148" spans="2:5" x14ac:dyDescent="0.35">
      <c r="B148"/>
      <c r="E148"/>
    </row>
    <row r="149" spans="2:5" x14ac:dyDescent="0.35">
      <c r="B149"/>
      <c r="E149"/>
    </row>
    <row r="150" spans="2:5" x14ac:dyDescent="0.35">
      <c r="B150"/>
      <c r="E150"/>
    </row>
    <row r="151" spans="2:5" x14ac:dyDescent="0.35">
      <c r="B151"/>
      <c r="E151"/>
    </row>
    <row r="152" spans="2:5" x14ac:dyDescent="0.35">
      <c r="B152"/>
      <c r="E152"/>
    </row>
    <row r="153" spans="2:5" x14ac:dyDescent="0.35">
      <c r="B153"/>
      <c r="E153"/>
    </row>
    <row r="154" spans="2:5" x14ac:dyDescent="0.35">
      <c r="B154"/>
      <c r="E154"/>
    </row>
    <row r="155" spans="2:5" x14ac:dyDescent="0.35">
      <c r="B155"/>
      <c r="E155"/>
    </row>
    <row r="156" spans="2:5" x14ac:dyDescent="0.35">
      <c r="B156"/>
      <c r="E156"/>
    </row>
    <row r="157" spans="2:5" x14ac:dyDescent="0.35">
      <c r="B157"/>
      <c r="E157"/>
    </row>
    <row r="158" spans="2:5" x14ac:dyDescent="0.35">
      <c r="B158"/>
      <c r="E158"/>
    </row>
    <row r="159" spans="2:5" x14ac:dyDescent="0.35">
      <c r="B159"/>
      <c r="E159"/>
    </row>
    <row r="160" spans="2:5" x14ac:dyDescent="0.35">
      <c r="B160"/>
      <c r="E160"/>
    </row>
    <row r="161" spans="2:5" x14ac:dyDescent="0.35">
      <c r="B161"/>
      <c r="E161"/>
    </row>
    <row r="162" spans="2:5" x14ac:dyDescent="0.35">
      <c r="B162"/>
      <c r="E162"/>
    </row>
    <row r="163" spans="2:5" x14ac:dyDescent="0.35">
      <c r="B163"/>
      <c r="E163"/>
    </row>
    <row r="164" spans="2:5" x14ac:dyDescent="0.35">
      <c r="B164"/>
      <c r="E164"/>
    </row>
    <row r="165" spans="2:5" x14ac:dyDescent="0.35">
      <c r="B165"/>
      <c r="E165"/>
    </row>
    <row r="166" spans="2:5" x14ac:dyDescent="0.35">
      <c r="B166"/>
      <c r="E166"/>
    </row>
    <row r="167" spans="2:5" x14ac:dyDescent="0.35">
      <c r="B167"/>
      <c r="E167"/>
    </row>
    <row r="168" spans="2:5" x14ac:dyDescent="0.35">
      <c r="B168"/>
      <c r="E168"/>
    </row>
    <row r="169" spans="2:5" x14ac:dyDescent="0.35">
      <c r="B169"/>
      <c r="E169"/>
    </row>
    <row r="170" spans="2:5" x14ac:dyDescent="0.35">
      <c r="B170"/>
      <c r="E170"/>
    </row>
    <row r="171" spans="2:5" x14ac:dyDescent="0.35">
      <c r="B171"/>
      <c r="E171"/>
    </row>
    <row r="172" spans="2:5" x14ac:dyDescent="0.35">
      <c r="B172"/>
      <c r="E172"/>
    </row>
    <row r="173" spans="2:5" x14ac:dyDescent="0.35">
      <c r="B173"/>
      <c r="E173"/>
    </row>
    <row r="174" spans="2:5" x14ac:dyDescent="0.35">
      <c r="B174"/>
      <c r="E174"/>
    </row>
    <row r="175" spans="2:5" x14ac:dyDescent="0.35">
      <c r="B175"/>
      <c r="E175"/>
    </row>
    <row r="176" spans="2:5" x14ac:dyDescent="0.35">
      <c r="B176"/>
      <c r="E176"/>
    </row>
    <row r="177" spans="2:5" x14ac:dyDescent="0.35">
      <c r="B177"/>
      <c r="E177"/>
    </row>
    <row r="178" spans="2:5" x14ac:dyDescent="0.35">
      <c r="B178"/>
      <c r="E178"/>
    </row>
    <row r="179" spans="2:5" x14ac:dyDescent="0.35">
      <c r="B179"/>
      <c r="E179"/>
    </row>
    <row r="180" spans="2:5" x14ac:dyDescent="0.35">
      <c r="B180"/>
      <c r="E180"/>
    </row>
    <row r="181" spans="2:5" x14ac:dyDescent="0.35">
      <c r="B181"/>
      <c r="E181"/>
    </row>
    <row r="182" spans="2:5" x14ac:dyDescent="0.35">
      <c r="B182"/>
      <c r="E182"/>
    </row>
    <row r="183" spans="2:5" x14ac:dyDescent="0.35">
      <c r="B183"/>
      <c r="E183"/>
    </row>
    <row r="184" spans="2:5" x14ac:dyDescent="0.35">
      <c r="B184"/>
      <c r="E184"/>
    </row>
    <row r="185" spans="2:5" x14ac:dyDescent="0.35">
      <c r="B185"/>
      <c r="E185"/>
    </row>
    <row r="186" spans="2:5" x14ac:dyDescent="0.35">
      <c r="B186"/>
      <c r="E186"/>
    </row>
    <row r="187" spans="2:5" x14ac:dyDescent="0.35">
      <c r="B187"/>
      <c r="E187"/>
    </row>
    <row r="188" spans="2:5" x14ac:dyDescent="0.35">
      <c r="B188"/>
      <c r="E188"/>
    </row>
    <row r="189" spans="2:5" x14ac:dyDescent="0.35">
      <c r="B189"/>
      <c r="E189"/>
    </row>
    <row r="190" spans="2:5" x14ac:dyDescent="0.35">
      <c r="B190"/>
      <c r="E190"/>
    </row>
    <row r="191" spans="2:5" x14ac:dyDescent="0.35">
      <c r="B191"/>
      <c r="E191"/>
    </row>
    <row r="192" spans="2:5" x14ac:dyDescent="0.35">
      <c r="B192"/>
      <c r="E192"/>
    </row>
    <row r="193" spans="2:5" x14ac:dyDescent="0.35">
      <c r="B193"/>
      <c r="E193"/>
    </row>
    <row r="194" spans="2:5" x14ac:dyDescent="0.35">
      <c r="B194"/>
      <c r="E194"/>
    </row>
    <row r="195" spans="2:5" x14ac:dyDescent="0.35">
      <c r="B195"/>
      <c r="E195"/>
    </row>
    <row r="196" spans="2:5" x14ac:dyDescent="0.35">
      <c r="B196"/>
      <c r="E196"/>
    </row>
    <row r="197" spans="2:5" x14ac:dyDescent="0.35">
      <c r="B197"/>
      <c r="E197"/>
    </row>
    <row r="198" spans="2:5" x14ac:dyDescent="0.35">
      <c r="B198"/>
      <c r="E198"/>
    </row>
    <row r="199" spans="2:5" x14ac:dyDescent="0.35">
      <c r="B199"/>
      <c r="E199"/>
    </row>
    <row r="200" spans="2:5" x14ac:dyDescent="0.35">
      <c r="B200"/>
      <c r="E200"/>
    </row>
    <row r="201" spans="2:5" x14ac:dyDescent="0.35">
      <c r="B201"/>
      <c r="E201"/>
    </row>
    <row r="202" spans="2:5" x14ac:dyDescent="0.35">
      <c r="B202"/>
      <c r="E202"/>
    </row>
    <row r="203" spans="2:5" x14ac:dyDescent="0.35">
      <c r="B203"/>
      <c r="E203"/>
    </row>
    <row r="204" spans="2:5" x14ac:dyDescent="0.35">
      <c r="B204"/>
      <c r="E204"/>
    </row>
    <row r="205" spans="2:5" x14ac:dyDescent="0.35">
      <c r="B205"/>
      <c r="E205"/>
    </row>
    <row r="206" spans="2:5" x14ac:dyDescent="0.35">
      <c r="B206"/>
      <c r="E206"/>
    </row>
    <row r="207" spans="2:5" x14ac:dyDescent="0.35">
      <c r="B207"/>
      <c r="E207"/>
    </row>
    <row r="208" spans="2:5" x14ac:dyDescent="0.35">
      <c r="B208"/>
      <c r="E208"/>
    </row>
    <row r="209" spans="2:5" x14ac:dyDescent="0.35">
      <c r="B209"/>
      <c r="E209"/>
    </row>
    <row r="210" spans="2:5" x14ac:dyDescent="0.35">
      <c r="B210"/>
      <c r="E210"/>
    </row>
    <row r="211" spans="2:5" x14ac:dyDescent="0.35">
      <c r="B211"/>
      <c r="E211"/>
    </row>
    <row r="212" spans="2:5" x14ac:dyDescent="0.35">
      <c r="B212"/>
      <c r="E212"/>
    </row>
    <row r="213" spans="2:5" x14ac:dyDescent="0.35">
      <c r="B213"/>
      <c r="E213"/>
    </row>
    <row r="214" spans="2:5" x14ac:dyDescent="0.35">
      <c r="B214"/>
      <c r="E214"/>
    </row>
    <row r="215" spans="2:5" x14ac:dyDescent="0.35">
      <c r="B215"/>
      <c r="E215"/>
    </row>
    <row r="216" spans="2:5" x14ac:dyDescent="0.35">
      <c r="B216"/>
      <c r="E216"/>
    </row>
    <row r="217" spans="2:5" x14ac:dyDescent="0.35">
      <c r="B217"/>
      <c r="E217"/>
    </row>
    <row r="218" spans="2:5" x14ac:dyDescent="0.35">
      <c r="B218"/>
      <c r="E218"/>
    </row>
    <row r="219" spans="2:5" x14ac:dyDescent="0.35">
      <c r="B219"/>
      <c r="E219"/>
    </row>
    <row r="220" spans="2:5" x14ac:dyDescent="0.35">
      <c r="B220"/>
      <c r="E220"/>
    </row>
    <row r="221" spans="2:5" x14ac:dyDescent="0.35">
      <c r="B221"/>
      <c r="E221"/>
    </row>
    <row r="222" spans="2:5" x14ac:dyDescent="0.35">
      <c r="B222"/>
      <c r="E222"/>
    </row>
    <row r="223" spans="2:5" x14ac:dyDescent="0.35">
      <c r="B223"/>
      <c r="E223"/>
    </row>
    <row r="224" spans="2:5" x14ac:dyDescent="0.35">
      <c r="B224"/>
      <c r="E224"/>
    </row>
    <row r="225" spans="2:5" x14ac:dyDescent="0.35">
      <c r="B225"/>
      <c r="E225"/>
    </row>
    <row r="226" spans="2:5" x14ac:dyDescent="0.35">
      <c r="B226"/>
      <c r="E226"/>
    </row>
    <row r="227" spans="2:5" x14ac:dyDescent="0.35">
      <c r="B227"/>
      <c r="E227"/>
    </row>
    <row r="228" spans="2:5" x14ac:dyDescent="0.35">
      <c r="B228"/>
      <c r="E228"/>
    </row>
    <row r="229" spans="2:5" x14ac:dyDescent="0.35">
      <c r="B229"/>
      <c r="E229"/>
    </row>
    <row r="230" spans="2:5" x14ac:dyDescent="0.35">
      <c r="B230"/>
      <c r="E230"/>
    </row>
    <row r="231" spans="2:5" x14ac:dyDescent="0.35">
      <c r="B231"/>
      <c r="E231"/>
    </row>
    <row r="232" spans="2:5" x14ac:dyDescent="0.35">
      <c r="B232"/>
      <c r="E232"/>
    </row>
    <row r="233" spans="2:5" x14ac:dyDescent="0.35">
      <c r="B233"/>
      <c r="E233"/>
    </row>
    <row r="234" spans="2:5" x14ac:dyDescent="0.35">
      <c r="B234"/>
      <c r="E234"/>
    </row>
    <row r="235" spans="2:5" x14ac:dyDescent="0.35">
      <c r="B235"/>
      <c r="E235"/>
    </row>
    <row r="236" spans="2:5" x14ac:dyDescent="0.35">
      <c r="B236"/>
      <c r="E23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2:N50"/>
  <sheetViews>
    <sheetView workbookViewId="0">
      <selection activeCell="E8" sqref="E8"/>
    </sheetView>
  </sheetViews>
  <sheetFormatPr defaultRowHeight="14.5" x14ac:dyDescent="0.35"/>
  <cols>
    <col min="2" max="3" width="38.54296875" bestFit="1" customWidth="1"/>
    <col min="4" max="4" width="9.1796875" style="16"/>
    <col min="5" max="6" width="11.7265625" bestFit="1" customWidth="1"/>
    <col min="8" max="8" width="10.1796875" bestFit="1" customWidth="1"/>
    <col min="11" max="11" width="36.1796875" bestFit="1" customWidth="1"/>
    <col min="12" max="12" width="2" bestFit="1" customWidth="1"/>
    <col min="13" max="13" width="12.7265625" bestFit="1" customWidth="1"/>
    <col min="14" max="14" width="9.1796875" style="16"/>
    <col min="17" max="17" width="34.81640625" bestFit="1" customWidth="1"/>
    <col min="18" max="18" width="53.1796875" bestFit="1" customWidth="1"/>
  </cols>
  <sheetData>
    <row r="2" spans="1:14" x14ac:dyDescent="0.35">
      <c r="A2" t="s">
        <v>114</v>
      </c>
      <c r="B2" t="s">
        <v>8</v>
      </c>
      <c r="C2" t="s">
        <v>9</v>
      </c>
      <c r="E2" t="s">
        <v>87</v>
      </c>
      <c r="F2" t="s">
        <v>115</v>
      </c>
      <c r="K2" t="s">
        <v>8</v>
      </c>
    </row>
    <row r="3" spans="1:14" x14ac:dyDescent="0.35">
      <c r="A3">
        <v>1</v>
      </c>
      <c r="B3" t="s">
        <v>65</v>
      </c>
      <c r="D3" s="16">
        <f>F3/$F$50</f>
        <v>0.69838556273722208</v>
      </c>
      <c r="E3" s="4"/>
      <c r="F3" s="4">
        <f>SUM(F4:F12)</f>
        <v>4774119.96</v>
      </c>
      <c r="J3">
        <v>1</v>
      </c>
      <c r="K3" t="s">
        <v>65</v>
      </c>
      <c r="L3">
        <v>1</v>
      </c>
      <c r="M3" s="4">
        <f>SUMIFS('Processado 2'!$I:$I,'Processado 2'!$G:$G,Projeção!K3,'Processado 2'!$E:$E,13)</f>
        <v>2469637.11</v>
      </c>
      <c r="N3" s="16">
        <f t="shared" ref="N3:N9" si="0">M3/$M$10</f>
        <v>0.88582113287531972</v>
      </c>
    </row>
    <row r="4" spans="1:14" x14ac:dyDescent="0.35">
      <c r="C4" t="s">
        <v>10</v>
      </c>
      <c r="D4" s="16">
        <f>F4/$F$3</f>
        <v>0.12316406058636198</v>
      </c>
      <c r="E4" s="4">
        <f>E9*0.2</f>
        <v>49000</v>
      </c>
      <c r="F4" s="4">
        <f t="shared" ref="F4:F8" si="1">E4*12</f>
        <v>588000</v>
      </c>
      <c r="J4">
        <v>2</v>
      </c>
      <c r="K4" t="s">
        <v>105</v>
      </c>
      <c r="L4">
        <v>2</v>
      </c>
      <c r="M4" s="4">
        <f>SUMIFS('Processado 2'!$I:$I,'Processado 2'!$G:$G,Projeção!K4,'Processado 2'!$E:$E,13)</f>
        <v>112722.28</v>
      </c>
      <c r="N4" s="16">
        <f t="shared" si="0"/>
        <v>4.0431761154532134E-2</v>
      </c>
    </row>
    <row r="5" spans="1:14" x14ac:dyDescent="0.35">
      <c r="C5" t="s">
        <v>11</v>
      </c>
      <c r="D5" s="16">
        <f t="shared" ref="D5:D12" si="2">F5/$F$3</f>
        <v>4.9265624234544787E-2</v>
      </c>
      <c r="E5" s="4">
        <f>E9*0.08</f>
        <v>19600</v>
      </c>
      <c r="F5" s="4">
        <f t="shared" si="1"/>
        <v>235200</v>
      </c>
      <c r="J5">
        <v>3</v>
      </c>
      <c r="K5" t="s">
        <v>81</v>
      </c>
      <c r="L5">
        <v>3</v>
      </c>
      <c r="M5" s="4">
        <f>SUMIFS('Processado 2'!$I:$I,'Processado 2'!$G:$G,Projeção!K5,'Processado 2'!$E:$E,13)</f>
        <v>36097.599999999999</v>
      </c>
      <c r="N5" s="16">
        <f t="shared" si="0"/>
        <v>1.2947658097865295E-2</v>
      </c>
    </row>
    <row r="6" spans="1:14" x14ac:dyDescent="0.35">
      <c r="C6" t="s">
        <v>12</v>
      </c>
      <c r="D6" s="16">
        <f t="shared" si="2"/>
        <v>6.1582030293180984E-3</v>
      </c>
      <c r="E6" s="4">
        <f>E9*0.01</f>
        <v>2450</v>
      </c>
      <c r="F6" s="4">
        <f t="shared" si="1"/>
        <v>29400</v>
      </c>
      <c r="J6">
        <v>4</v>
      </c>
      <c r="K6" t="s">
        <v>79</v>
      </c>
      <c r="L6">
        <v>4</v>
      </c>
      <c r="M6" s="4">
        <f>SUM(Tabela!AD23:AF33)</f>
        <v>0</v>
      </c>
      <c r="N6" s="16">
        <f t="shared" si="0"/>
        <v>0</v>
      </c>
    </row>
    <row r="7" spans="1:14" x14ac:dyDescent="0.35">
      <c r="C7" t="s">
        <v>13</v>
      </c>
      <c r="D7" s="16">
        <f t="shared" si="2"/>
        <v>3.571757757004497E-2</v>
      </c>
      <c r="E7" s="4">
        <f>E9*0.058</f>
        <v>14210</v>
      </c>
      <c r="F7" s="4">
        <f t="shared" si="1"/>
        <v>170520</v>
      </c>
      <c r="J7">
        <v>5</v>
      </c>
      <c r="K7" t="s">
        <v>95</v>
      </c>
      <c r="L7">
        <v>5</v>
      </c>
      <c r="M7" s="4">
        <f>SUMIFS('Processado 2'!$I:$I,'Processado 2'!$G:$G,Projeção!K7,'Processado 2'!$E:$E,13)+M8+M9</f>
        <v>169506.65</v>
      </c>
      <c r="N7" s="16">
        <f t="shared" si="0"/>
        <v>6.079944787228287E-2</v>
      </c>
    </row>
    <row r="8" spans="1:14" x14ac:dyDescent="0.35">
      <c r="C8" t="s">
        <v>14</v>
      </c>
      <c r="D8" s="16">
        <f t="shared" si="2"/>
        <v>0.12714384328122327</v>
      </c>
      <c r="E8" s="4">
        <v>50583.33</v>
      </c>
      <c r="F8" s="4">
        <f t="shared" si="1"/>
        <v>606999.96</v>
      </c>
      <c r="H8" s="4"/>
      <c r="J8">
        <v>6</v>
      </c>
      <c r="K8" t="s">
        <v>111</v>
      </c>
      <c r="L8">
        <v>6</v>
      </c>
      <c r="M8" s="4">
        <f>SUMIFS('Processado 2'!$I:$I,'Processado 2'!$G:$G,Projeção!K8,'Processado 2'!$E:$E,13)</f>
        <v>7113.95</v>
      </c>
      <c r="N8" s="16">
        <f t="shared" si="0"/>
        <v>2.551665272076504E-3</v>
      </c>
    </row>
    <row r="9" spans="1:14" x14ac:dyDescent="0.35">
      <c r="C9" t="s">
        <v>15</v>
      </c>
      <c r="D9" s="16">
        <f t="shared" si="2"/>
        <v>0.61582030293180989</v>
      </c>
      <c r="E9" s="4">
        <v>245000</v>
      </c>
      <c r="F9" s="4">
        <f t="shared" ref="F9:F12" si="3">E9*12</f>
        <v>2940000</v>
      </c>
      <c r="J9">
        <v>7</v>
      </c>
      <c r="K9" t="s">
        <v>97</v>
      </c>
      <c r="L9">
        <v>7</v>
      </c>
      <c r="M9" s="4">
        <f>SUMIFS('Processado 2'!$I:$I,'Processado 2'!$G:$G,Projeção!K9,'Processado 2'!$E:$E,13)</f>
        <v>2575.83</v>
      </c>
      <c r="N9" s="16">
        <f t="shared" si="0"/>
        <v>9.2391090150659215E-4</v>
      </c>
    </row>
    <row r="10" spans="1:14" x14ac:dyDescent="0.35">
      <c r="C10" t="s">
        <v>16</v>
      </c>
      <c r="D10" s="16">
        <f t="shared" si="2"/>
        <v>1.2316406058636197E-2</v>
      </c>
      <c r="E10" s="4">
        <f>E9*0.02</f>
        <v>4900</v>
      </c>
      <c r="F10" s="4">
        <f t="shared" si="3"/>
        <v>58800</v>
      </c>
      <c r="M10" s="4">
        <f>SUM(M3:M7)</f>
        <v>2787963.6399999997</v>
      </c>
    </row>
    <row r="11" spans="1:14" x14ac:dyDescent="0.35">
      <c r="C11" t="s">
        <v>17</v>
      </c>
      <c r="D11" s="16">
        <f t="shared" si="2"/>
        <v>2.7146364374136926E-2</v>
      </c>
      <c r="E11" s="4">
        <f>300*36</f>
        <v>10800</v>
      </c>
      <c r="F11" s="4">
        <f t="shared" si="3"/>
        <v>129600</v>
      </c>
    </row>
    <row r="12" spans="1:14" x14ac:dyDescent="0.35">
      <c r="C12" t="s">
        <v>18</v>
      </c>
      <c r="D12" s="16">
        <f t="shared" si="2"/>
        <v>3.2676179339238892E-3</v>
      </c>
      <c r="E12" s="4">
        <v>1300</v>
      </c>
      <c r="F12" s="4">
        <f t="shared" si="3"/>
        <v>15600</v>
      </c>
    </row>
    <row r="14" spans="1:14" x14ac:dyDescent="0.35">
      <c r="A14">
        <v>2</v>
      </c>
      <c r="B14" t="s">
        <v>105</v>
      </c>
      <c r="D14" s="16">
        <f>F14/$F$50</f>
        <v>5.6710349961427972E-2</v>
      </c>
      <c r="F14" s="4">
        <f>SUM(F15:F19)</f>
        <v>387668.4</v>
      </c>
    </row>
    <row r="15" spans="1:14" x14ac:dyDescent="0.35">
      <c r="C15" t="s">
        <v>19</v>
      </c>
      <c r="D15" s="16">
        <f>F15/$F$14</f>
        <v>0.60670408008493848</v>
      </c>
      <c r="E15" s="4">
        <f>E9*0.08</f>
        <v>19600</v>
      </c>
      <c r="F15" s="4">
        <f>E15*12</f>
        <v>235200</v>
      </c>
    </row>
    <row r="16" spans="1:14" x14ac:dyDescent="0.35">
      <c r="C16" t="s">
        <v>20</v>
      </c>
      <c r="D16" s="16">
        <f t="shared" ref="D16:D19" si="4">F16/$F$14</f>
        <v>0.21082966782951615</v>
      </c>
      <c r="E16" s="4">
        <f>E9*0.0278</f>
        <v>6811</v>
      </c>
      <c r="F16" s="4">
        <f t="shared" ref="F16:F18" si="5">E16*12</f>
        <v>81732</v>
      </c>
    </row>
    <row r="17" spans="1:11" x14ac:dyDescent="0.35">
      <c r="C17" t="s">
        <v>21</v>
      </c>
      <c r="D17" s="16">
        <f t="shared" si="4"/>
        <v>0.12134081601698771</v>
      </c>
      <c r="E17" s="4">
        <f>E15*0.2</f>
        <v>3920</v>
      </c>
      <c r="F17" s="4">
        <f t="shared" si="5"/>
        <v>47040</v>
      </c>
    </row>
    <row r="18" spans="1:11" x14ac:dyDescent="0.35">
      <c r="C18" t="s">
        <v>22</v>
      </c>
      <c r="D18" s="16">
        <f t="shared" si="4"/>
        <v>4.216593356590323E-2</v>
      </c>
      <c r="E18" s="4">
        <f>E16*0.2</f>
        <v>1362.2</v>
      </c>
      <c r="F18" s="4">
        <f t="shared" si="5"/>
        <v>16346.400000000001</v>
      </c>
      <c r="K18">
        <v>44750</v>
      </c>
    </row>
    <row r="19" spans="1:11" x14ac:dyDescent="0.35">
      <c r="C19" t="s">
        <v>23</v>
      </c>
      <c r="D19" s="16">
        <f t="shared" si="4"/>
        <v>1.8959502502654327E-2</v>
      </c>
      <c r="E19" s="4">
        <f>E9*0.0025</f>
        <v>612.5</v>
      </c>
      <c r="F19" s="4">
        <f>E19*12</f>
        <v>7350</v>
      </c>
      <c r="K19">
        <v>33245</v>
      </c>
    </row>
    <row r="20" spans="1:11" x14ac:dyDescent="0.35">
      <c r="K20">
        <v>33335</v>
      </c>
    </row>
    <row r="21" spans="1:11" x14ac:dyDescent="0.35">
      <c r="A21">
        <v>3</v>
      </c>
      <c r="B21" t="s">
        <v>81</v>
      </c>
      <c r="D21" s="16">
        <f>F21/$F$50</f>
        <v>0.21134614375694047</v>
      </c>
      <c r="F21" s="4">
        <f>SUM(F22:F26)</f>
        <v>1444749</v>
      </c>
      <c r="K21">
        <f>K18*10</f>
        <v>447500</v>
      </c>
    </row>
    <row r="22" spans="1:11" x14ac:dyDescent="0.35">
      <c r="C22" t="s">
        <v>28</v>
      </c>
      <c r="D22" s="16">
        <f>F22/$F$21</f>
        <v>1.1628317444760301E-2</v>
      </c>
      <c r="E22" s="4">
        <v>1400</v>
      </c>
      <c r="F22" s="4">
        <f>E22*12</f>
        <v>16800</v>
      </c>
      <c r="K22">
        <f>SUM(K19:K21)</f>
        <v>514080</v>
      </c>
    </row>
    <row r="23" spans="1:11" x14ac:dyDescent="0.35">
      <c r="C23" t="s">
        <v>82</v>
      </c>
      <c r="D23" s="16">
        <f t="shared" ref="D23:D26" si="6">F23/$F$21</f>
        <v>0.63254516874557454</v>
      </c>
      <c r="E23" s="4">
        <f>96551+4990</f>
        <v>101541</v>
      </c>
      <c r="F23" s="4">
        <f>E23*9</f>
        <v>913869</v>
      </c>
      <c r="H23" s="4"/>
    </row>
    <row r="24" spans="1:11" x14ac:dyDescent="0.35">
      <c r="C24" t="s">
        <v>29</v>
      </c>
      <c r="D24" s="16">
        <f t="shared" si="6"/>
        <v>0</v>
      </c>
      <c r="F24" s="4"/>
    </row>
    <row r="25" spans="1:11" x14ac:dyDescent="0.35">
      <c r="C25" t="s">
        <v>83</v>
      </c>
      <c r="D25" s="16">
        <f t="shared" si="6"/>
        <v>0</v>
      </c>
      <c r="F25" s="4"/>
    </row>
    <row r="26" spans="1:11" x14ac:dyDescent="0.35">
      <c r="C26" t="s">
        <v>30</v>
      </c>
      <c r="D26" s="16">
        <f t="shared" si="6"/>
        <v>0.35582651380966523</v>
      </c>
      <c r="E26" s="4">
        <f>514080/12</f>
        <v>42840</v>
      </c>
      <c r="F26" s="4">
        <v>514080</v>
      </c>
    </row>
    <row r="28" spans="1:11" x14ac:dyDescent="0.35">
      <c r="A28">
        <v>4</v>
      </c>
      <c r="B28" t="s">
        <v>79</v>
      </c>
      <c r="D28" s="16">
        <f>F28/$F$50</f>
        <v>0</v>
      </c>
      <c r="F28">
        <f>SUM(F29:F33)</f>
        <v>0</v>
      </c>
    </row>
    <row r="29" spans="1:11" x14ac:dyDescent="0.35">
      <c r="C29" t="s">
        <v>24</v>
      </c>
      <c r="D29" s="16" t="e">
        <f>F29/$F$28</f>
        <v>#DIV/0!</v>
      </c>
    </row>
    <row r="30" spans="1:11" x14ac:dyDescent="0.35">
      <c r="C30" t="s">
        <v>25</v>
      </c>
      <c r="D30" s="16" t="e">
        <f t="shared" ref="D30:D33" si="7">F30/$F$28</f>
        <v>#DIV/0!</v>
      </c>
    </row>
    <row r="31" spans="1:11" x14ac:dyDescent="0.35">
      <c r="C31" t="s">
        <v>26</v>
      </c>
      <c r="D31" s="16" t="e">
        <f t="shared" si="7"/>
        <v>#DIV/0!</v>
      </c>
    </row>
    <row r="32" spans="1:11" x14ac:dyDescent="0.35">
      <c r="C32" t="s">
        <v>27</v>
      </c>
      <c r="D32" s="16" t="e">
        <f t="shared" si="7"/>
        <v>#DIV/0!</v>
      </c>
    </row>
    <row r="33" spans="1:8" x14ac:dyDescent="0.35">
      <c r="C33" t="s">
        <v>80</v>
      </c>
      <c r="D33" s="16" t="e">
        <f t="shared" si="7"/>
        <v>#DIV/0!</v>
      </c>
    </row>
    <row r="35" spans="1:8" x14ac:dyDescent="0.35">
      <c r="A35">
        <v>5</v>
      </c>
      <c r="B35" t="s">
        <v>95</v>
      </c>
      <c r="D35" s="16">
        <f>F35/$F$50</f>
        <v>3.3557943544409545E-2</v>
      </c>
      <c r="E35" s="4"/>
      <c r="F35" s="4">
        <f>SUM(F36:F47)</f>
        <v>229400</v>
      </c>
    </row>
    <row r="36" spans="1:8" x14ac:dyDescent="0.35">
      <c r="C36" t="s">
        <v>31</v>
      </c>
      <c r="D36" s="16">
        <f>F36/$F$35</f>
        <v>0</v>
      </c>
      <c r="F36" s="4">
        <f t="shared" ref="F36:F41" si="8">E36*12</f>
        <v>0</v>
      </c>
    </row>
    <row r="37" spans="1:8" x14ac:dyDescent="0.35">
      <c r="C37" t="s">
        <v>32</v>
      </c>
      <c r="D37" s="16">
        <f t="shared" ref="D37:D47" si="9">F37/$F$35</f>
        <v>0</v>
      </c>
      <c r="F37" s="4">
        <f t="shared" si="8"/>
        <v>0</v>
      </c>
    </row>
    <row r="38" spans="1:8" x14ac:dyDescent="0.35">
      <c r="C38" t="s">
        <v>34</v>
      </c>
      <c r="D38" s="16">
        <f t="shared" si="9"/>
        <v>0</v>
      </c>
      <c r="F38" s="4">
        <f t="shared" si="8"/>
        <v>0</v>
      </c>
    </row>
    <row r="39" spans="1:8" x14ac:dyDescent="0.35">
      <c r="C39" t="s">
        <v>35</v>
      </c>
      <c r="D39" s="16">
        <f t="shared" si="9"/>
        <v>0</v>
      </c>
      <c r="F39" s="4">
        <f t="shared" si="8"/>
        <v>0</v>
      </c>
    </row>
    <row r="40" spans="1:8" x14ac:dyDescent="0.35">
      <c r="C40" t="s">
        <v>36</v>
      </c>
      <c r="D40" s="16">
        <f t="shared" si="9"/>
        <v>0</v>
      </c>
      <c r="F40" s="4">
        <f t="shared" si="8"/>
        <v>0</v>
      </c>
    </row>
    <row r="41" spans="1:8" x14ac:dyDescent="0.35">
      <c r="C41" t="s">
        <v>37</v>
      </c>
      <c r="D41" s="16">
        <f t="shared" si="9"/>
        <v>1.5693112467306015E-2</v>
      </c>
      <c r="E41">
        <v>300</v>
      </c>
      <c r="F41" s="4">
        <f t="shared" si="8"/>
        <v>3600</v>
      </c>
    </row>
    <row r="42" spans="1:8" x14ac:dyDescent="0.35">
      <c r="C42" t="s">
        <v>38</v>
      </c>
      <c r="D42" s="16">
        <f t="shared" si="9"/>
        <v>1.1299040976460331E-2</v>
      </c>
      <c r="E42" s="4">
        <f>36*6</f>
        <v>216</v>
      </c>
      <c r="F42" s="4">
        <f>E42*12</f>
        <v>2592</v>
      </c>
    </row>
    <row r="43" spans="1:8" x14ac:dyDescent="0.35">
      <c r="C43" t="s">
        <v>39</v>
      </c>
      <c r="D43" s="16">
        <f t="shared" si="9"/>
        <v>0.52310374891020051</v>
      </c>
      <c r="E43" s="4">
        <v>10000</v>
      </c>
      <c r="F43" s="4">
        <f>E43*12</f>
        <v>120000</v>
      </c>
    </row>
    <row r="44" spans="1:8" x14ac:dyDescent="0.35">
      <c r="C44" t="s">
        <v>100</v>
      </c>
      <c r="D44" s="16">
        <f t="shared" si="9"/>
        <v>0.34206625980819527</v>
      </c>
      <c r="E44" s="4">
        <v>5900</v>
      </c>
      <c r="F44" s="4">
        <f>E44*13.3</f>
        <v>78470</v>
      </c>
    </row>
    <row r="45" spans="1:8" x14ac:dyDescent="0.35">
      <c r="C45" t="s">
        <v>102</v>
      </c>
      <c r="D45" s="16">
        <f t="shared" si="9"/>
        <v>9.6242371403661722E-2</v>
      </c>
      <c r="E45" s="4">
        <v>1660</v>
      </c>
      <c r="F45" s="4">
        <f>E45*13.3</f>
        <v>22078</v>
      </c>
      <c r="H45" s="4"/>
    </row>
    <row r="46" spans="1:8" x14ac:dyDescent="0.35">
      <c r="C46" t="s">
        <v>40</v>
      </c>
      <c r="D46" s="16">
        <f t="shared" si="9"/>
        <v>5.7977332170880561E-3</v>
      </c>
      <c r="E46" s="4">
        <v>100</v>
      </c>
      <c r="F46" s="4">
        <f t="shared" ref="F46:F47" si="10">E46*13.3</f>
        <v>1330</v>
      </c>
      <c r="H46" s="4"/>
    </row>
    <row r="47" spans="1:8" x14ac:dyDescent="0.35">
      <c r="C47" t="s">
        <v>41</v>
      </c>
      <c r="D47" s="16">
        <f t="shared" si="9"/>
        <v>5.7977332170880561E-3</v>
      </c>
      <c r="E47" s="4">
        <v>100</v>
      </c>
      <c r="F47" s="4">
        <f t="shared" si="10"/>
        <v>1330</v>
      </c>
    </row>
    <row r="50" spans="6:6" x14ac:dyDescent="0.35">
      <c r="F50" s="4">
        <f>SUM(F35,F28,F21,F14,F3)</f>
        <v>6835937.3599999994</v>
      </c>
    </row>
  </sheetData>
  <sortState ref="A3:C42">
    <sortCondition ref="A4:A42"/>
    <sortCondition ref="C4:C42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B17"/>
  <sheetViews>
    <sheetView workbookViewId="0">
      <selection activeCell="C24" sqref="C24"/>
    </sheetView>
  </sheetViews>
  <sheetFormatPr defaultRowHeight="14.5" x14ac:dyDescent="0.35"/>
  <cols>
    <col min="1" max="1" width="30.81640625" bestFit="1" customWidth="1"/>
    <col min="2" max="2" width="9.1796875" style="4"/>
  </cols>
  <sheetData>
    <row r="1" spans="1:2" x14ac:dyDescent="0.35">
      <c r="A1" t="s">
        <v>116</v>
      </c>
    </row>
    <row r="8" spans="1:2" x14ac:dyDescent="0.35">
      <c r="A8" t="s">
        <v>117</v>
      </c>
      <c r="B8" s="4">
        <v>11300</v>
      </c>
    </row>
    <row r="9" spans="1:2" x14ac:dyDescent="0.35">
      <c r="A9" t="s">
        <v>118</v>
      </c>
      <c r="B9" s="4">
        <v>1400</v>
      </c>
    </row>
    <row r="10" spans="1:2" x14ac:dyDescent="0.35">
      <c r="A10" t="s">
        <v>119</v>
      </c>
    </row>
    <row r="11" spans="1:2" x14ac:dyDescent="0.35">
      <c r="A11" t="s">
        <v>100</v>
      </c>
      <c r="B11" s="4">
        <v>7540</v>
      </c>
    </row>
    <row r="13" spans="1:2" x14ac:dyDescent="0.35">
      <c r="A13" t="s">
        <v>120</v>
      </c>
      <c r="B13" s="4">
        <v>4990</v>
      </c>
    </row>
    <row r="14" spans="1:2" x14ac:dyDescent="0.35">
      <c r="A14" t="s">
        <v>121</v>
      </c>
      <c r="B14" s="4">
        <v>44700</v>
      </c>
    </row>
    <row r="17" spans="1:2" x14ac:dyDescent="0.35">
      <c r="A17" t="s">
        <v>122</v>
      </c>
      <c r="B17" s="4">
        <v>10000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:P29"/>
  <sheetViews>
    <sheetView workbookViewId="0">
      <selection activeCell="C4" sqref="C4:C8"/>
    </sheetView>
  </sheetViews>
  <sheetFormatPr defaultRowHeight="14.5" x14ac:dyDescent="0.35"/>
  <cols>
    <col min="2" max="2" width="27.7265625" bestFit="1" customWidth="1"/>
    <col min="4" max="5" width="14.26953125" bestFit="1" customWidth="1"/>
    <col min="6" max="6" width="22.453125" bestFit="1" customWidth="1"/>
    <col min="7" max="8" width="22.453125" customWidth="1"/>
    <col min="10" max="10" width="10.1796875" bestFit="1" customWidth="1"/>
    <col min="13" max="13" width="10.1796875" bestFit="1" customWidth="1"/>
  </cols>
  <sheetData>
    <row r="1" spans="1:16" x14ac:dyDescent="0.35">
      <c r="A1" t="s">
        <v>123</v>
      </c>
      <c r="B1" t="s">
        <v>124</v>
      </c>
      <c r="C1" t="s">
        <v>125</v>
      </c>
      <c r="D1" t="s">
        <v>126</v>
      </c>
      <c r="E1" t="s">
        <v>127</v>
      </c>
      <c r="F1" t="s">
        <v>128</v>
      </c>
      <c r="G1" t="s">
        <v>129</v>
      </c>
      <c r="H1" t="s">
        <v>130</v>
      </c>
      <c r="I1" t="s">
        <v>131</v>
      </c>
      <c r="J1" t="s">
        <v>132</v>
      </c>
      <c r="K1" t="s">
        <v>133</v>
      </c>
      <c r="L1" t="s">
        <v>134</v>
      </c>
      <c r="M1" t="s">
        <v>135</v>
      </c>
      <c r="N1" t="s">
        <v>136</v>
      </c>
    </row>
    <row r="2" spans="1:16" x14ac:dyDescent="0.35">
      <c r="A2" s="60" t="s">
        <v>137</v>
      </c>
      <c r="B2" s="60" t="s">
        <v>138</v>
      </c>
      <c r="C2" s="72">
        <v>6</v>
      </c>
      <c r="D2" s="71">
        <v>1528.23</v>
      </c>
      <c r="E2" s="4">
        <f>TBCARGO[[#This Row],[ QTD]]*TBCARGO[[#This Row],[ Salário Base]]</f>
        <v>9169.380000000001</v>
      </c>
      <c r="F2" s="4">
        <f>TBCARGO[[#This Row],[ Salário total]]*SUM(Encargos!$B$3,Encargos!$B$4)</f>
        <v>3282.6380400000007</v>
      </c>
      <c r="G2" s="4">
        <f>TBCARGO[[#This Row],[ Salário total]]*0.09</f>
        <v>825.24420000000009</v>
      </c>
      <c r="H2" s="4">
        <f>TBCARGO[[#This Row],[ QTD]]*300</f>
        <v>1800</v>
      </c>
      <c r="I2" s="4">
        <f>TBCARGO[[#This Row],[ Salário total]]*SUM(Encargos!$B$5:$B$10)</f>
        <v>1789.6785695800002</v>
      </c>
      <c r="J2" s="4">
        <f>SUM(TBCARGO[[#This Row],[ Salário total]:[ Provisões]])</f>
        <v>16866.940809580003</v>
      </c>
      <c r="K2" s="61" t="s">
        <v>137</v>
      </c>
      <c r="L2" s="4">
        <f>TBCARGO[[#This Row],[ Salário Base]]*0.09</f>
        <v>137.54069999999999</v>
      </c>
      <c r="M2" s="71">
        <f>TBCARGO[[#This Row],[ Salário Base]]+TBCARGO[[#This Row],[Coluna2]]</f>
        <v>1665.7707</v>
      </c>
      <c r="N2" s="4">
        <f>TBCARGO[[#This Row],[ Salário total]]*0.3</f>
        <v>2750.8140000000003</v>
      </c>
    </row>
    <row r="3" spans="1:16" x14ac:dyDescent="0.35">
      <c r="A3" s="60" t="s">
        <v>139</v>
      </c>
      <c r="B3" s="60" t="s">
        <v>140</v>
      </c>
      <c r="C3" s="72">
        <v>6</v>
      </c>
      <c r="D3" s="71">
        <v>5526.94</v>
      </c>
      <c r="E3" s="4">
        <f>TBCARGO[[#This Row],[ QTD]]*TBCARGO[[#This Row],[ Salário Base]]</f>
        <v>33161.64</v>
      </c>
      <c r="F3" s="4">
        <f>TBCARGO[[#This Row],[ Salário total]]*SUM(Encargos!$B$3,Encargos!$B$4)</f>
        <v>11871.867120000001</v>
      </c>
      <c r="G3" s="4">
        <f>TBCARGO[[#This Row],[ Salário total]]*0.09</f>
        <v>2984.5475999999999</v>
      </c>
      <c r="H3" s="4">
        <f>TBCARGO[[#This Row],[ QTD]]*300</f>
        <v>1800</v>
      </c>
      <c r="I3" s="4">
        <f>TBCARGO[[#This Row],[ Salário total]]*SUM(Encargos!$B$5:$B$10)</f>
        <v>6472.4852105733326</v>
      </c>
      <c r="J3" s="4">
        <f>SUM(TBCARGO[[#This Row],[ Salário total]:[ Provisões]])</f>
        <v>56290.53993057333</v>
      </c>
      <c r="K3" s="61" t="s">
        <v>139</v>
      </c>
      <c r="L3" s="4">
        <f>TBCARGO[[#This Row],[ Salário Base]]*0.09</f>
        <v>497.42459999999994</v>
      </c>
      <c r="M3" s="71">
        <f>TBCARGO[[#This Row],[ Salário Base]]+TBCARGO[[#This Row],[Coluna2]]</f>
        <v>6024.3645999999999</v>
      </c>
      <c r="N3" s="4">
        <f>TBCARGO[[#This Row],[ Salário total]]*0.3</f>
        <v>9948.4920000000002</v>
      </c>
    </row>
    <row r="4" spans="1:16" x14ac:dyDescent="0.35">
      <c r="A4" s="60" t="s">
        <v>141</v>
      </c>
      <c r="B4" s="60" t="s">
        <v>142</v>
      </c>
      <c r="C4" s="72">
        <v>1</v>
      </c>
      <c r="D4" s="4">
        <v>4612.72</v>
      </c>
      <c r="E4" s="4">
        <f>TBCARGO[[#This Row],[ QTD]]*TBCARGO[[#This Row],[ Salário Base]]</f>
        <v>4612.72</v>
      </c>
      <c r="F4" s="4">
        <f>TBCARGO[[#This Row],[ Salário total]]*SUM(Encargos!$B$3,Encargos!$B$4)</f>
        <v>1651.3537600000002</v>
      </c>
      <c r="G4" s="4">
        <f>TBCARGO[[#This Row],[ Salário total]]*0.09</f>
        <v>415.14480000000003</v>
      </c>
      <c r="H4" s="4">
        <f>TBCARGO[[#This Row],[ QTD]]*300</f>
        <v>300</v>
      </c>
      <c r="I4" s="4">
        <f>TBCARGO[[#This Row],[ Salário total]]*SUM(Encargos!$B$5:$B$10)</f>
        <v>900.31017707555554</v>
      </c>
      <c r="J4" s="4">
        <f>SUM(TBCARGO[[#This Row],[ Salário total]:[ Provisões]])</f>
        <v>7879.5287370755559</v>
      </c>
      <c r="K4" s="61" t="s">
        <v>141</v>
      </c>
      <c r="L4" s="4">
        <f>TBCARGO[[#This Row],[ Salário Base]]*0.09</f>
        <v>415.14480000000003</v>
      </c>
      <c r="M4" s="71">
        <f>TBCARGO[[#This Row],[ Salário Base]]+TBCARGO[[#This Row],[Coluna2]]</f>
        <v>5027.8648000000003</v>
      </c>
      <c r="N4" s="4">
        <f>TBCARGO[[#This Row],[ Salário total]]*0.3</f>
        <v>1383.816</v>
      </c>
      <c r="O4">
        <v>192</v>
      </c>
    </row>
    <row r="5" spans="1:16" x14ac:dyDescent="0.35">
      <c r="A5" s="60" t="s">
        <v>143</v>
      </c>
      <c r="B5" s="60" t="s">
        <v>144</v>
      </c>
      <c r="C5" s="72">
        <v>4</v>
      </c>
      <c r="D5" s="4">
        <v>3166.77</v>
      </c>
      <c r="E5" s="4">
        <f>TBCARGO[[#This Row],[ QTD]]*TBCARGO[[#This Row],[ Salário Base]]</f>
        <v>12667.08</v>
      </c>
      <c r="F5" s="4">
        <f>TBCARGO[[#This Row],[ Salário total]]*SUM(Encargos!$B$3,Encargos!$B$4)</f>
        <v>4534.8146400000005</v>
      </c>
      <c r="G5" s="4">
        <f>TBCARGO[[#This Row],[ Salário total]]*0.09</f>
        <v>1140.0372</v>
      </c>
      <c r="H5" s="4">
        <f>TBCARGO[[#This Row],[ QTD]]*300</f>
        <v>1200</v>
      </c>
      <c r="I5" s="4">
        <f>TBCARGO[[#This Row],[ Salário total]]*SUM(Encargos!$B$5:$B$10)</f>
        <v>2472.3592669466666</v>
      </c>
      <c r="J5" s="4">
        <f>SUM(TBCARGO[[#This Row],[ Salário total]:[ Provisões]])</f>
        <v>22014.291106946665</v>
      </c>
      <c r="K5" s="61" t="s">
        <v>143</v>
      </c>
      <c r="L5" s="4">
        <f>TBCARGO[[#This Row],[ Salário Base]]*0.09</f>
        <v>285.0093</v>
      </c>
      <c r="M5" s="71">
        <f>TBCARGO[[#This Row],[ Salário Base]]+TBCARGO[[#This Row],[Coluna2]]</f>
        <v>3451.7793000000001</v>
      </c>
      <c r="N5" s="4">
        <f>TBCARGO[[#This Row],[ Salário total]]*0.3</f>
        <v>3800.1239999999998</v>
      </c>
      <c r="O5">
        <f>O4/4</f>
        <v>48</v>
      </c>
      <c r="P5">
        <v>22</v>
      </c>
    </row>
    <row r="6" spans="1:16" x14ac:dyDescent="0.35">
      <c r="A6" s="60" t="s">
        <v>145</v>
      </c>
      <c r="B6" s="60" t="s">
        <v>146</v>
      </c>
      <c r="C6" s="72">
        <v>1</v>
      </c>
      <c r="D6" s="4">
        <v>17804.03</v>
      </c>
      <c r="E6" s="4">
        <f>TBCARGO[[#This Row],[ QTD]]*TBCARGO[[#This Row],[ Salário Base]]</f>
        <v>17804.03</v>
      </c>
      <c r="F6" s="4">
        <f>TBCARGO[[#This Row],[ Salário total]]*SUM(Encargos!$B$3,Encargos!$B$4)</f>
        <v>6373.84274</v>
      </c>
      <c r="G6" s="4">
        <f>TBCARGO[[#This Row],[ Salário total]]*0.09</f>
        <v>1602.3626999999999</v>
      </c>
      <c r="H6" s="4">
        <f>TBCARGO[[#This Row],[ QTD]]*300</f>
        <v>300</v>
      </c>
      <c r="I6" s="4">
        <f>TBCARGO[[#This Row],[ Salário total]]*SUM(Encargos!$B$5:$B$10)</f>
        <v>3474.9885971744438</v>
      </c>
      <c r="J6" s="4">
        <f>SUM(TBCARGO[[#This Row],[ Salário total]:[ Provisões]])</f>
        <v>29555.224037174445</v>
      </c>
      <c r="K6" s="61" t="s">
        <v>145</v>
      </c>
      <c r="L6" s="4">
        <f>TBCARGO[[#This Row],[ Salário Base]]*0.09</f>
        <v>1602.3626999999999</v>
      </c>
      <c r="M6" s="71">
        <f>TBCARGO[[#This Row],[ Salário Base]]+TBCARGO[[#This Row],[Coluna2]]</f>
        <v>19406.3927</v>
      </c>
      <c r="N6" s="4"/>
      <c r="P6">
        <f>P5*2</f>
        <v>44</v>
      </c>
    </row>
    <row r="7" spans="1:16" x14ac:dyDescent="0.35">
      <c r="A7" s="60" t="s">
        <v>147</v>
      </c>
      <c r="B7" s="60" t="s">
        <v>148</v>
      </c>
      <c r="C7" s="72">
        <v>3</v>
      </c>
      <c r="D7" s="4">
        <v>16807.009999999998</v>
      </c>
      <c r="E7" s="4">
        <f>TBCARGO[[#This Row],[ QTD]]*TBCARGO[[#This Row],[ Salário Base]]</f>
        <v>50421.03</v>
      </c>
      <c r="F7" s="4">
        <f>TBCARGO[[#This Row],[ Salário total]]*SUM(Encargos!$B$3,Encargos!$B$4)</f>
        <v>18050.728740000002</v>
      </c>
      <c r="G7" s="4">
        <f>TBCARGO[[#This Row],[ Salário total]]*0.09</f>
        <v>4537.8926999999994</v>
      </c>
      <c r="H7" s="4">
        <f>TBCARGO[[#This Row],[ QTD]]*300</f>
        <v>900</v>
      </c>
      <c r="I7" s="4">
        <f>TBCARGO[[#This Row],[ Salário total]]*SUM(Encargos!$B$5:$B$10)</f>
        <v>9841.1710330633323</v>
      </c>
      <c r="J7" s="4">
        <f>SUM(TBCARGO[[#This Row],[ Salário total]:[ Provisões]])</f>
        <v>83750.822473063337</v>
      </c>
      <c r="K7" s="61" t="s">
        <v>147</v>
      </c>
      <c r="L7" s="4">
        <f>TBCARGO[[#This Row],[ Salário Base]]*0.09</f>
        <v>1512.6308999999999</v>
      </c>
      <c r="M7" s="71">
        <f>TBCARGO[[#This Row],[ Salário Base]]+TBCARGO[[#This Row],[Coluna2]]</f>
        <v>18319.640899999999</v>
      </c>
      <c r="N7" s="4"/>
      <c r="P7">
        <f>P6*4</f>
        <v>176</v>
      </c>
    </row>
    <row r="8" spans="1:16" x14ac:dyDescent="0.35">
      <c r="A8" s="60" t="s">
        <v>149</v>
      </c>
      <c r="B8" s="60" t="s">
        <v>150</v>
      </c>
      <c r="C8" s="72">
        <v>2</v>
      </c>
      <c r="D8" s="4">
        <v>8779.06</v>
      </c>
      <c r="E8" s="4">
        <f>TBCARGO[[#This Row],[ QTD]]*TBCARGO[[#This Row],[ Salário Base]]</f>
        <v>17558.12</v>
      </c>
      <c r="F8" s="4">
        <f>TBCARGO[[#This Row],[ Salário total]]*SUM(Encargos!$B$3,Encargos!$B$4)</f>
        <v>6285.8069599999999</v>
      </c>
      <c r="G8" s="4">
        <f>TBCARGO[[#This Row],[ Salário total]]*0.09</f>
        <v>1580.2307999999998</v>
      </c>
      <c r="H8" s="4">
        <f>TBCARGO[[#This Row],[ QTD]]*300</f>
        <v>600</v>
      </c>
      <c r="I8" s="4">
        <f>TBCARGO[[#This Row],[ Salário total]]*SUM(Encargos!$B$5:$B$10)</f>
        <v>3426.9919106977773</v>
      </c>
      <c r="J8" s="4">
        <f>SUM(TBCARGO[[#This Row],[ Salário total]:[ Provisões]])</f>
        <v>29451.149670697774</v>
      </c>
      <c r="K8" s="61" t="s">
        <v>149</v>
      </c>
      <c r="L8" s="4">
        <f>TBCARGO[[#This Row],[ Salário Base]]*0.09</f>
        <v>790.11539999999991</v>
      </c>
      <c r="M8" s="71">
        <f>TBCARGO[[#This Row],[ Salário Base]]+TBCARGO[[#This Row],[Coluna2]]</f>
        <v>9569.1754000000001</v>
      </c>
      <c r="N8" s="4">
        <f>TBCARGO[[#This Row],[ Salário total]]*0.3</f>
        <v>5267.4359999999997</v>
      </c>
      <c r="P8">
        <f>P7*C2</f>
        <v>1056</v>
      </c>
    </row>
    <row r="9" spans="1:16" x14ac:dyDescent="0.35">
      <c r="A9" s="60" t="s">
        <v>151</v>
      </c>
      <c r="B9" s="60" t="s">
        <v>152</v>
      </c>
      <c r="C9">
        <v>0</v>
      </c>
      <c r="D9" s="4">
        <v>5526.94</v>
      </c>
      <c r="E9" s="4">
        <f>TBCARGO[[#This Row],[ QTD]]*TBCARGO[[#This Row],[ Salário Base]]</f>
        <v>0</v>
      </c>
      <c r="F9" s="4">
        <f>TBCARGO[[#This Row],[ Salário total]]*SUM(Encargos!$B$3,Encargos!$B$4)</f>
        <v>0</v>
      </c>
      <c r="G9" s="4">
        <f>TBCARGO[[#This Row],[ Salário total]]*0.09</f>
        <v>0</v>
      </c>
      <c r="H9" s="4">
        <f>TBCARGO[[#This Row],[ QTD]]*300</f>
        <v>0</v>
      </c>
      <c r="I9" s="4">
        <f>TBCARGO[[#This Row],[ Salário total]]*SUM(Encargos!$B$5:$B$10)</f>
        <v>0</v>
      </c>
      <c r="J9" s="4">
        <f>SUM(TBCARGO[[#This Row],[ Salário total]:[ Provisões]])</f>
        <v>0</v>
      </c>
      <c r="K9" s="61" t="s">
        <v>151</v>
      </c>
      <c r="L9" s="4">
        <f>TBCARGO[[#This Row],[ Salário Base]]*0.09</f>
        <v>497.42459999999994</v>
      </c>
      <c r="M9" s="4">
        <f>TBCARGO[[#This Row],[ Salário Base]]+TBCARGO[[#This Row],[Coluna2]]</f>
        <v>6024.3645999999999</v>
      </c>
      <c r="N9" s="4">
        <f>TBCARGO[[#This Row],[ Salário total]]*0.3</f>
        <v>0</v>
      </c>
    </row>
    <row r="10" spans="1:16" x14ac:dyDescent="0.35">
      <c r="A10" s="60" t="s">
        <v>153</v>
      </c>
      <c r="B10" s="60" t="s">
        <v>154</v>
      </c>
      <c r="C10" s="72">
        <v>1</v>
      </c>
      <c r="D10" s="4">
        <v>12279.21</v>
      </c>
      <c r="E10" s="4">
        <f>TBCARGO[[#This Row],[ QTD]]*TBCARGO[[#This Row],[ Salário Base]]</f>
        <v>12279.21</v>
      </c>
      <c r="F10" s="4">
        <f>TBCARGO[[#This Row],[ Salário total]]*SUM(Encargos!$B$3,Encargos!$B$4)</f>
        <v>4395.9571800000003</v>
      </c>
      <c r="G10" s="4">
        <f>TBCARGO[[#This Row],[ Salário total]]*0.09</f>
        <v>1105.1288999999999</v>
      </c>
      <c r="H10" s="4">
        <f>TBCARGO[[#This Row],[ QTD]]*300</f>
        <v>300</v>
      </c>
      <c r="I10" s="4">
        <f>TBCARGO[[#This Row],[ Salário total]]*SUM(Encargos!$B$5:$B$10)</f>
        <v>2396.654843443333</v>
      </c>
      <c r="J10" s="4">
        <f>SUM(TBCARGO[[#This Row],[ Salário total]:[ Provisões]])</f>
        <v>20476.950923443332</v>
      </c>
      <c r="K10" s="61" t="s">
        <v>153</v>
      </c>
      <c r="L10" s="4">
        <f>TBCARGO[[#This Row],[ Salário Base]]*0.09</f>
        <v>1105.1288999999999</v>
      </c>
      <c r="M10" s="71">
        <f>TBCARGO[[#This Row],[ Salário Base]]+TBCARGO[[#This Row],[Coluna2]]</f>
        <v>13384.338899999999</v>
      </c>
      <c r="N10" s="4"/>
    </row>
    <row r="11" spans="1:16" x14ac:dyDescent="0.35">
      <c r="A11" s="60" t="s">
        <v>155</v>
      </c>
      <c r="B11" s="60" t="s">
        <v>156</v>
      </c>
      <c r="C11" s="72">
        <v>10</v>
      </c>
      <c r="D11" s="4">
        <v>7578.49</v>
      </c>
      <c r="E11" s="4">
        <f>TBCARGO[[#This Row],[ QTD]]*TBCARGO[[#This Row],[ Salário Base]]</f>
        <v>75784.899999999994</v>
      </c>
      <c r="F11" s="4">
        <f>TBCARGO[[#This Row],[ Salário total]]*SUM(Encargos!$B$3,Encargos!$B$4)</f>
        <v>27130.994200000001</v>
      </c>
      <c r="G11" s="4">
        <f>TBCARGO[[#This Row],[ Salário total]]*0.09</f>
        <v>6820.6409999999996</v>
      </c>
      <c r="H11" s="4">
        <f>TBCARGO[[#This Row],[ QTD]]*300</f>
        <v>3000</v>
      </c>
      <c r="I11" s="4">
        <f>TBCARGO[[#This Row],[ Salário total]]*SUM(Encargos!$B$5:$B$10)</f>
        <v>14791.688361455554</v>
      </c>
      <c r="J11" s="4">
        <f>SUM(TBCARGO[[#This Row],[ Salário total]:[ Provisões]])</f>
        <v>127528.22356145555</v>
      </c>
      <c r="K11" s="61" t="s">
        <v>155</v>
      </c>
      <c r="L11" s="4">
        <f>TBCARGO[[#This Row],[ Salário Base]]*0.09</f>
        <v>682.06409999999994</v>
      </c>
      <c r="M11" s="71">
        <f>TBCARGO[[#This Row],[ Salário Base]]+TBCARGO[[#This Row],[Coluna2]]</f>
        <v>8260.5540999999994</v>
      </c>
      <c r="N11" s="4">
        <f>TBCARGO[[#This Row],[ Salário total]]*0.3</f>
        <v>22735.469999999998</v>
      </c>
    </row>
    <row r="12" spans="1:16" x14ac:dyDescent="0.35">
      <c r="A12" s="60" t="s">
        <v>157</v>
      </c>
      <c r="B12" s="60" t="s">
        <v>158</v>
      </c>
      <c r="C12" s="72">
        <v>2</v>
      </c>
      <c r="D12" s="4">
        <v>5615.71</v>
      </c>
      <c r="E12" s="4">
        <f>TBCARGO[[#This Row],[ QTD]]*TBCARGO[[#This Row],[ Salário Base]]</f>
        <v>11231.42</v>
      </c>
      <c r="F12" s="4">
        <f>TBCARGO[[#This Row],[ Salário total]]*SUM(Encargos!$B$3,Encargos!$B$4)</f>
        <v>4020.8483600000004</v>
      </c>
      <c r="G12" s="4">
        <f>TBCARGO[[#This Row],[ Salário total]]*0.09</f>
        <v>1010.8278</v>
      </c>
      <c r="H12" s="4">
        <f>TBCARGO[[#This Row],[ QTD]]*300</f>
        <v>600</v>
      </c>
      <c r="I12" s="4">
        <f>TBCARGO[[#This Row],[ Salário total]]*SUM(Encargos!$B$5:$B$10)</f>
        <v>2192.1473076644443</v>
      </c>
      <c r="J12" s="4">
        <f>SUM(TBCARGO[[#This Row],[ Salário total]:[ Provisões]])</f>
        <v>19055.243467664444</v>
      </c>
      <c r="K12" s="61" t="s">
        <v>157</v>
      </c>
      <c r="L12" s="4">
        <f>TBCARGO[[#This Row],[ Salário Base]]*0.09</f>
        <v>505.41390000000001</v>
      </c>
      <c r="M12" s="71">
        <f>TBCARGO[[#This Row],[ Salário Base]]+TBCARGO[[#This Row],[Coluna2]]</f>
        <v>6121.1239000000005</v>
      </c>
      <c r="N12" s="4">
        <f>TBCARGO[[#This Row],[ Salário total]]*0.3</f>
        <v>3369.4259999999999</v>
      </c>
    </row>
    <row r="13" spans="1:16" x14ac:dyDescent="0.35">
      <c r="A13" s="60" t="s">
        <v>0</v>
      </c>
      <c r="B13" s="60"/>
      <c r="C13">
        <f>SUBTOTAL(109,TBCARGO[[ QTD]])</f>
        <v>36</v>
      </c>
      <c r="E13" s="4">
        <f>SUBTOTAL(109,TBCARGO[[ Salário total]])</f>
        <v>244689.53</v>
      </c>
      <c r="F13" s="4">
        <f>SUBTOTAL(109,TBCARGO[] TBCARGO[ Encargos / vantagens] )</f>
        <v>87598.851740000013</v>
      </c>
      <c r="G13" s="4">
        <f>SUBTOTAL(109,TBCARGO[Gratificação])</f>
        <v>22022.057699999998</v>
      </c>
      <c r="H13" s="4">
        <f>SUBTOTAL(109,TBCARGO[Refeição])</f>
        <v>10800</v>
      </c>
      <c r="I13" s="4">
        <f>SUBTOTAL(109,TBCARGO[[ Provisões]])</f>
        <v>47758.475277674435</v>
      </c>
      <c r="J13" s="4">
        <f>SUBTOTAL(109,TBCARGO[[ Total]])</f>
        <v>412868.91471767443</v>
      </c>
      <c r="N13" s="4">
        <f>SUBTOTAL(109,TBCARGO[Coluna4])</f>
        <v>49255.578000000001</v>
      </c>
    </row>
    <row r="15" spans="1:16" x14ac:dyDescent="0.35">
      <c r="E15" s="4">
        <f>SUM(E2:E5,E8,E11:E12)</f>
        <v>164185.26</v>
      </c>
    </row>
    <row r="16" spans="1:16" x14ac:dyDescent="0.35">
      <c r="I16" s="70"/>
      <c r="M16" s="4">
        <f>8*M13</f>
        <v>0</v>
      </c>
    </row>
    <row r="17" spans="3:13" x14ac:dyDescent="0.35">
      <c r="M17" s="4">
        <f>M16+44000</f>
        <v>44000</v>
      </c>
    </row>
    <row r="18" spans="3:13" x14ac:dyDescent="0.35">
      <c r="D18" s="4">
        <v>5482.17</v>
      </c>
      <c r="E18" s="4">
        <f>D9</f>
        <v>5526.94</v>
      </c>
      <c r="F18" s="4">
        <f>D3</f>
        <v>5526.94</v>
      </c>
    </row>
    <row r="19" spans="3:13" x14ac:dyDescent="0.35">
      <c r="D19" s="4">
        <v>542.19000000000005</v>
      </c>
      <c r="E19" s="4">
        <f>D9*0.09</f>
        <v>497.42459999999994</v>
      </c>
      <c r="F19" s="4">
        <f>F18*0.09</f>
        <v>497.42459999999994</v>
      </c>
      <c r="I19">
        <f>D6*0.3</f>
        <v>5341.2089999999998</v>
      </c>
    </row>
    <row r="20" spans="3:13" x14ac:dyDescent="0.35">
      <c r="D20" s="4">
        <f>SUM(D18:D19)</f>
        <v>6024.3600000000006</v>
      </c>
      <c r="E20" s="4">
        <f>SUM(E18:E19)</f>
        <v>6024.3645999999999</v>
      </c>
      <c r="F20" s="4">
        <f>SUM(F18:F19)</f>
        <v>6024.3645999999999</v>
      </c>
      <c r="I20">
        <f>D10*0.3</f>
        <v>3683.7629999999995</v>
      </c>
    </row>
    <row r="21" spans="3:13" x14ac:dyDescent="0.35">
      <c r="I21">
        <f>D11*0.3</f>
        <v>2273.547</v>
      </c>
    </row>
    <row r="22" spans="3:13" x14ac:dyDescent="0.35">
      <c r="C22" s="72">
        <v>1</v>
      </c>
      <c r="D22" s="4">
        <v>12279.21</v>
      </c>
      <c r="E22" s="4">
        <v>0</v>
      </c>
      <c r="F22" s="71">
        <f>SUM(D22:E22)</f>
        <v>12279.21</v>
      </c>
    </row>
    <row r="23" spans="3:13" x14ac:dyDescent="0.35">
      <c r="C23" s="72">
        <v>2</v>
      </c>
      <c r="D23" s="4">
        <v>8707.9500000000007</v>
      </c>
      <c r="E23" s="4">
        <v>861.23</v>
      </c>
      <c r="F23" s="71">
        <f t="shared" ref="F23:F29" si="0">SUM(D23:E23)</f>
        <v>9569.18</v>
      </c>
    </row>
    <row r="24" spans="3:13" x14ac:dyDescent="0.35">
      <c r="C24" s="72">
        <v>10</v>
      </c>
      <c r="D24" s="4">
        <v>7517.1</v>
      </c>
      <c r="E24" s="4">
        <v>743.45</v>
      </c>
      <c r="F24" s="71">
        <f t="shared" si="0"/>
        <v>8260.5500000000011</v>
      </c>
    </row>
    <row r="25" spans="3:13" x14ac:dyDescent="0.35">
      <c r="C25" s="72">
        <v>2</v>
      </c>
      <c r="D25" s="4">
        <v>5570.22</v>
      </c>
      <c r="E25" s="4">
        <v>550.9</v>
      </c>
      <c r="F25" s="71">
        <f t="shared" si="0"/>
        <v>6121.12</v>
      </c>
    </row>
    <row r="26" spans="3:13" x14ac:dyDescent="0.35">
      <c r="C26" s="72">
        <v>6</v>
      </c>
      <c r="D26" s="4">
        <v>5482.17</v>
      </c>
      <c r="E26" s="4">
        <v>542.19000000000005</v>
      </c>
      <c r="F26" s="71">
        <f t="shared" si="0"/>
        <v>6024.3600000000006</v>
      </c>
    </row>
    <row r="27" spans="3:13" x14ac:dyDescent="0.35">
      <c r="C27" s="72">
        <v>1</v>
      </c>
      <c r="D27" s="4">
        <v>4575.3500000000004</v>
      </c>
      <c r="E27" s="4">
        <v>452.51</v>
      </c>
      <c r="F27" s="71">
        <f t="shared" si="0"/>
        <v>5027.8600000000006</v>
      </c>
    </row>
    <row r="28" spans="3:13" x14ac:dyDescent="0.35">
      <c r="C28" s="72">
        <v>4</v>
      </c>
      <c r="D28" s="4">
        <v>3141.12</v>
      </c>
      <c r="E28" s="4">
        <v>310.66000000000003</v>
      </c>
      <c r="F28" s="71">
        <f t="shared" si="0"/>
        <v>3451.7799999999997</v>
      </c>
    </row>
    <row r="29" spans="3:13" x14ac:dyDescent="0.35">
      <c r="C29" s="72">
        <v>6</v>
      </c>
      <c r="D29" s="4">
        <v>1515.85</v>
      </c>
      <c r="E29" s="4">
        <v>149.91999999999999</v>
      </c>
      <c r="F29" s="71">
        <f t="shared" si="0"/>
        <v>1665.77</v>
      </c>
    </row>
  </sheetData>
  <phoneticPr fontId="2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2:O61"/>
  <sheetViews>
    <sheetView workbookViewId="0">
      <selection activeCell="G4" sqref="G4"/>
    </sheetView>
  </sheetViews>
  <sheetFormatPr defaultRowHeight="14.5" x14ac:dyDescent="0.35"/>
  <cols>
    <col min="3" max="3" width="38.54296875" bestFit="1" customWidth="1"/>
    <col min="4" max="6" width="11.7265625" bestFit="1" customWidth="1"/>
    <col min="7" max="7" width="12.7265625" bestFit="1" customWidth="1"/>
    <col min="8" max="8" width="9.1796875" style="16"/>
    <col min="9" max="9" width="11.7265625" bestFit="1" customWidth="1"/>
    <col min="11" max="11" width="11.7265625" bestFit="1" customWidth="1"/>
    <col min="12" max="12" width="12.7265625" style="4" bestFit="1" customWidth="1"/>
    <col min="13" max="15" width="11.7265625" style="4" bestFit="1" customWidth="1"/>
  </cols>
  <sheetData>
    <row r="2" spans="2:11" x14ac:dyDescent="0.35">
      <c r="B2" t="s">
        <v>8</v>
      </c>
      <c r="C2" t="s">
        <v>9</v>
      </c>
      <c r="D2" t="s">
        <v>55</v>
      </c>
      <c r="E2" t="s">
        <v>44</v>
      </c>
      <c r="F2" t="s">
        <v>45</v>
      </c>
      <c r="G2" t="s">
        <v>0</v>
      </c>
    </row>
    <row r="3" spans="2:11" x14ac:dyDescent="0.35">
      <c r="B3" t="s">
        <v>65</v>
      </c>
      <c r="D3" s="4">
        <f t="shared" ref="D3:F3" si="0">SUM(D4:D14)</f>
        <v>0</v>
      </c>
      <c r="E3" s="4">
        <f t="shared" si="0"/>
        <v>0</v>
      </c>
      <c r="F3" s="4">
        <f t="shared" si="0"/>
        <v>0</v>
      </c>
      <c r="G3" s="4">
        <f>SUM(G4:G14)</f>
        <v>0</v>
      </c>
      <c r="H3" s="16" t="e">
        <f>G3/$G$61</f>
        <v>#DIV/0!</v>
      </c>
      <c r="I3" s="4"/>
      <c r="K3" s="4"/>
    </row>
    <row r="4" spans="2:11" x14ac:dyDescent="0.35">
      <c r="C4" t="s">
        <v>10</v>
      </c>
      <c r="D4" s="4">
        <f>SUMIFS('Processado 2'!H:H,'Processado 2'!G:G,'Base %'!$C4,'Processado 2'!$C:$C,"&lt;01/01/2021")</f>
        <v>0</v>
      </c>
      <c r="E4" s="4">
        <f>SUMIFS('Processado 2'!$H:$H,'Processado 2'!$G:$G,'Base %'!$C4,'Processado 2'!$C:$C,"&gt;31/12/2020",'Processado 2'!$C:$C,"&lt;01/02/2021")</f>
        <v>0</v>
      </c>
      <c r="F4" s="4">
        <f>SUMIFS('Processado 2'!$H:$H,'Processado 2'!$G:$G,'Base %'!$C4,'Processado 2'!$C:$C,"&gt;31/01/2021",'Processado 2'!$C:$C,"&lt;01/03/2021")</f>
        <v>0</v>
      </c>
      <c r="G4" s="4">
        <f t="shared" ref="G4:G14" si="1">SUM(D4:F4)</f>
        <v>0</v>
      </c>
      <c r="H4" s="16" t="e">
        <f>G4/$G$3</f>
        <v>#DIV/0!</v>
      </c>
      <c r="K4" s="4"/>
    </row>
    <row r="5" spans="2:11" x14ac:dyDescent="0.35">
      <c r="C5" t="s">
        <v>11</v>
      </c>
      <c r="D5" s="4">
        <f>SUMIFS('Processado 2'!H:H,'Processado 2'!G:G,'Base %'!$C5,'Processado 2'!$C:$C,"&lt;01/01/2021")</f>
        <v>0</v>
      </c>
      <c r="E5" s="4">
        <f>SUMIFS('Processado 2'!$H:$H,'Processado 2'!$G:$G,'Base %'!$C5,'Processado 2'!$C:$C,"&gt;31/12/2020",'Processado 2'!$C:$C,"&lt;01/02/2021")</f>
        <v>0</v>
      </c>
      <c r="F5" s="4">
        <f>SUMIFS('Processado 2'!$H:$H,'Processado 2'!$G:$G,'Base %'!$C5,'Processado 2'!$C:$C,"&gt;31/01/2021",'Processado 2'!$C:$C,"&lt;01/03/2021")</f>
        <v>0</v>
      </c>
      <c r="G5" s="4">
        <f t="shared" si="1"/>
        <v>0</v>
      </c>
      <c r="H5" s="16" t="e">
        <f>G5/$G$3</f>
        <v>#DIV/0!</v>
      </c>
      <c r="K5" s="4"/>
    </row>
    <row r="6" spans="2:11" x14ac:dyDescent="0.35">
      <c r="C6" t="s">
        <v>12</v>
      </c>
      <c r="D6" s="4">
        <f>SUMIFS('Processado 2'!H:H,'Processado 2'!G:G,'Base %'!$C6,'Processado 2'!$C:$C,"&lt;01/01/2021")</f>
        <v>0</v>
      </c>
      <c r="E6" s="4">
        <f>SUMIFS('Processado 2'!$H:$H,'Processado 2'!$G:$G,'Base %'!$C6,'Processado 2'!$C:$C,"&gt;31/12/2020",'Processado 2'!$C:$C,"&lt;01/02/2021")</f>
        <v>0</v>
      </c>
      <c r="F6" s="4">
        <f>SUMIFS('Processado 2'!$H:$H,'Processado 2'!$G:$G,'Base %'!$C6,'Processado 2'!$C:$C,"&gt;31/01/2021",'Processado 2'!$C:$C,"&lt;01/03/2021")</f>
        <v>0</v>
      </c>
      <c r="G6" s="4">
        <f t="shared" si="1"/>
        <v>0</v>
      </c>
      <c r="H6" s="16" t="e">
        <f t="shared" ref="H6:H14" si="2">G6/$G$3</f>
        <v>#DIV/0!</v>
      </c>
    </row>
    <row r="7" spans="2:11" x14ac:dyDescent="0.35">
      <c r="C7" t="s">
        <v>159</v>
      </c>
      <c r="D7" s="4">
        <f>SUMIFS('Processado 2'!H:H,'Processado 2'!G:G,'Base %'!$C7,'Processado 2'!$C:$C,"&lt;01/01/2021")</f>
        <v>0</v>
      </c>
      <c r="E7" s="4">
        <f>SUMIFS('Processado 2'!$H:$H,'Processado 2'!$G:$G,'Base %'!$C7,'Processado 2'!$C:$C,"&gt;31/12/2020",'Processado 2'!$C:$C,"&lt;01/02/2021")</f>
        <v>0</v>
      </c>
      <c r="F7" s="4">
        <f>SUMIFS('Processado 2'!$H:$H,'Processado 2'!$G:$G,'Base %'!$C7,'Processado 2'!$C:$C,"&gt;31/01/2021",'Processado 2'!$C:$C,"&lt;01/03/2021")</f>
        <v>0</v>
      </c>
      <c r="G7" s="4">
        <f t="shared" si="1"/>
        <v>0</v>
      </c>
      <c r="H7" s="16" t="e">
        <f t="shared" si="2"/>
        <v>#DIV/0!</v>
      </c>
    </row>
    <row r="8" spans="2:11" x14ac:dyDescent="0.35">
      <c r="C8" t="s">
        <v>23</v>
      </c>
      <c r="D8" s="4">
        <f>SUMIFS('Processado 2'!H:H,'Processado 2'!G:G,'Base %'!$C8,'Processado 2'!$C:$C,"&lt;01/01/2021")</f>
        <v>0</v>
      </c>
      <c r="E8" s="4">
        <f>SUMIFS('Processado 2'!$H:$H,'Processado 2'!$G:$G,'Base %'!$C8,'Processado 2'!$C:$C,"&gt;31/12/2020",'Processado 2'!$C:$C,"&lt;01/02/2021")</f>
        <v>0</v>
      </c>
      <c r="F8" s="4">
        <f>SUMIFS('Processado 2'!$H:$H,'Processado 2'!$G:$G,'Base %'!$C8,'Processado 2'!$C:$C,"&gt;31/01/2021",'Processado 2'!$C:$C,"&lt;01/03/2021")</f>
        <v>0</v>
      </c>
      <c r="G8" s="4">
        <f t="shared" si="1"/>
        <v>0</v>
      </c>
      <c r="H8" s="16" t="e">
        <f t="shared" si="2"/>
        <v>#DIV/0!</v>
      </c>
    </row>
    <row r="9" spans="2:11" x14ac:dyDescent="0.35">
      <c r="C9" t="s">
        <v>15</v>
      </c>
      <c r="D9" s="4">
        <f>SUMIFS('Processado 2'!H:H,'Processado 2'!G:G,'Base %'!$C9,'Processado 2'!$C:$C,"&lt;01/01/2021")</f>
        <v>0</v>
      </c>
      <c r="E9" s="4">
        <f>SUMIFS('Processado 2'!$H:$H,'Processado 2'!$G:$G,'Base %'!$C9,'Processado 2'!$C:$C,"&gt;31/12/2020",'Processado 2'!$C:$C,"&lt;01/02/2021")</f>
        <v>0</v>
      </c>
      <c r="F9" s="4">
        <f>SUMIFS('Processado 2'!$H:$H,'Processado 2'!$G:$G,'Base %'!$C9,'Processado 2'!$C:$C,"&gt;31/01/2021",'Processado 2'!$C:$C,"&lt;01/03/2021")</f>
        <v>0</v>
      </c>
      <c r="G9" s="4">
        <f t="shared" si="1"/>
        <v>0</v>
      </c>
      <c r="H9" s="16" t="e">
        <f>G9/$G$3</f>
        <v>#DIV/0!</v>
      </c>
    </row>
    <row r="10" spans="2:11" x14ac:dyDescent="0.35">
      <c r="C10" t="s">
        <v>16</v>
      </c>
      <c r="D10" s="4">
        <f>SUMIFS('Processado 2'!H:H,'Processado 2'!G:G,'Base %'!$C10,'Processado 2'!$C:$C,"&lt;01/01/2021")</f>
        <v>0</v>
      </c>
      <c r="E10" s="4">
        <f>SUMIFS('Processado 2'!$H:$H,'Processado 2'!$G:$G,'Base %'!$C10,'Processado 2'!$C:$C,"&gt;31/12/2020",'Processado 2'!$C:$C,"&lt;01/02/2021")</f>
        <v>0</v>
      </c>
      <c r="F10" s="4">
        <f>SUMIFS('Processado 2'!$H:$H,'Processado 2'!$G:$G,'Base %'!$C10,'Processado 2'!$C:$C,"&gt;31/01/2021",'Processado 2'!$C:$C,"&lt;01/03/2021")</f>
        <v>0</v>
      </c>
      <c r="G10" s="4">
        <f t="shared" si="1"/>
        <v>0</v>
      </c>
      <c r="H10" s="16" t="e">
        <f t="shared" si="2"/>
        <v>#DIV/0!</v>
      </c>
    </row>
    <row r="11" spans="2:11" x14ac:dyDescent="0.35">
      <c r="C11" t="s">
        <v>17</v>
      </c>
      <c r="D11" s="4">
        <f>SUMIFS('Processado 2'!H:H,'Processado 2'!G:G,'Base %'!$C11,'Processado 2'!$C:$C,"&lt;01/01/2021")</f>
        <v>0</v>
      </c>
      <c r="E11" s="4">
        <f>SUMIFS('Processado 2'!$H:$H,'Processado 2'!$G:$G,'Base %'!$C11,'Processado 2'!$C:$C,"&gt;31/12/2020",'Processado 2'!$C:$C,"&lt;01/02/2021")</f>
        <v>0</v>
      </c>
      <c r="F11" s="4">
        <f>SUMIFS('Processado 2'!$H:$H,'Processado 2'!$G:$G,'Base %'!$C11,'Processado 2'!$C:$C,"&gt;31/01/2021",'Processado 2'!$C:$C,"&lt;01/03/2021")</f>
        <v>0</v>
      </c>
      <c r="G11" s="4">
        <f t="shared" si="1"/>
        <v>0</v>
      </c>
      <c r="H11" s="16" t="e">
        <f t="shared" si="2"/>
        <v>#DIV/0!</v>
      </c>
    </row>
    <row r="12" spans="2:11" x14ac:dyDescent="0.35">
      <c r="C12" t="s">
        <v>18</v>
      </c>
      <c r="D12" s="4">
        <f>SUMIFS('Processado 2'!H:H,'Processado 2'!G:G,'Base %'!$C12,'Processado 2'!$C:$C,"&lt;01/01/2021")</f>
        <v>0</v>
      </c>
      <c r="E12" s="4">
        <f>SUMIFS('Processado 2'!$H:$H,'Processado 2'!$G:$G,'Base %'!$C12,'Processado 2'!$C:$C,"&gt;31/12/2020",'Processado 2'!$C:$C,"&lt;01/02/2021")</f>
        <v>0</v>
      </c>
      <c r="F12" s="4">
        <f>SUMIFS('Processado 2'!$H:$H,'Processado 2'!$G:$G,'Base %'!$C12,'Processado 2'!$C:$C,"&gt;31/01/2021",'Processado 2'!$C:$C,"&lt;01/03/2021")</f>
        <v>0</v>
      </c>
      <c r="G12" s="4">
        <f t="shared" si="1"/>
        <v>0</v>
      </c>
      <c r="H12" s="16" t="e">
        <f t="shared" si="2"/>
        <v>#DIV/0!</v>
      </c>
    </row>
    <row r="13" spans="2:11" x14ac:dyDescent="0.35">
      <c r="C13" t="s">
        <v>160</v>
      </c>
      <c r="D13" s="4">
        <f>SUMIFS('Processado 2'!H:H,'Processado 2'!G:G,'Base %'!$C13,'Processado 2'!$C:$C,"&lt;01/01/2021")</f>
        <v>0</v>
      </c>
      <c r="E13" s="4">
        <f>SUMIFS('Processado 2'!$H:$H,'Processado 2'!$G:$G,'Base %'!$C13,'Processado 2'!$C:$C,"&gt;31/12/2020",'Processado 2'!$C:$C,"&lt;01/02/2021")</f>
        <v>0</v>
      </c>
      <c r="F13" s="4">
        <f>SUMIFS('Processado 2'!$H:$H,'Processado 2'!$G:$G,'Base %'!$C13,'Processado 2'!$C:$C,"&gt;31/01/2021",'Processado 2'!$C:$C,"&lt;01/03/2021")</f>
        <v>0</v>
      </c>
      <c r="G13" s="4">
        <f t="shared" si="1"/>
        <v>0</v>
      </c>
      <c r="H13" s="16" t="e">
        <f t="shared" si="2"/>
        <v>#DIV/0!</v>
      </c>
    </row>
    <row r="14" spans="2:11" x14ac:dyDescent="0.35">
      <c r="C14" t="s">
        <v>161</v>
      </c>
      <c r="D14" s="4">
        <f>SUMIFS('Processado 2'!H:H,'Processado 2'!G:G,'Base %'!$C14,'Processado 2'!$C:$C,"&lt;01/01/2021")</f>
        <v>0</v>
      </c>
      <c r="E14" s="4">
        <f>SUMIFS('Processado 2'!$H:$H,'Processado 2'!$G:$G,'Base %'!$C14,'Processado 2'!$C:$C,"&gt;31/12/2020",'Processado 2'!$C:$C,"&lt;01/02/2021")</f>
        <v>0</v>
      </c>
      <c r="F14" s="4">
        <f>SUMIFS('Processado 2'!$H:$H,'Processado 2'!$G:$G,'Base %'!$C14,'Processado 2'!$C:$C,"&gt;31/01/2021",'Processado 2'!$C:$C,"&lt;01/03/2021")</f>
        <v>0</v>
      </c>
      <c r="G14" s="4">
        <f t="shared" si="1"/>
        <v>0</v>
      </c>
      <c r="H14" s="16" t="e">
        <f t="shared" si="2"/>
        <v>#DIV/0!</v>
      </c>
    </row>
    <row r="15" spans="2:11" x14ac:dyDescent="0.35">
      <c r="D15" s="4"/>
      <c r="E15" s="4"/>
      <c r="F15" s="4"/>
    </row>
    <row r="16" spans="2:11" x14ac:dyDescent="0.35">
      <c r="B16" t="s">
        <v>78</v>
      </c>
      <c r="D16" s="4">
        <f t="shared" ref="D16:F16" si="3">SUM(D17:D20)</f>
        <v>0</v>
      </c>
      <c r="E16" s="4">
        <f t="shared" si="3"/>
        <v>0</v>
      </c>
      <c r="F16" s="4">
        <f t="shared" si="3"/>
        <v>0</v>
      </c>
      <c r="G16" s="4">
        <f>SUM(G17:G20)</f>
        <v>0</v>
      </c>
      <c r="H16" s="16" t="e">
        <f>G16/$G$61</f>
        <v>#DIV/0!</v>
      </c>
    </row>
    <row r="17" spans="2:9" x14ac:dyDescent="0.35">
      <c r="C17" t="s">
        <v>21</v>
      </c>
      <c r="D17" s="4">
        <f>SUMIFS('Processado 2'!H:H,'Processado 2'!G:G,'Base %'!$C17,'Processado 2'!$C:$C,"&lt;01/01/2021")</f>
        <v>0</v>
      </c>
      <c r="E17" s="4">
        <f>SUMIFS('Processado 2'!$H:$H,'Processado 2'!$G:$G,'Base %'!$C17,'Processado 2'!$C:$C,"&gt;31/12/2020",'Processado 2'!$C:$C,"&lt;01/02/2021")</f>
        <v>0</v>
      </c>
      <c r="F17" s="4">
        <f>SUMIFS('Processado 2'!$H:$H,'Processado 2'!$G:$G,'Base %'!$C17,'Processado 2'!$C:$C,"&gt;31/01/2021",'Processado 2'!$C:$C,"&lt;01/03/2021")</f>
        <v>0</v>
      </c>
      <c r="G17" s="4">
        <f>SUM(D17:F17)</f>
        <v>0</v>
      </c>
      <c r="H17" s="16" t="e">
        <f>G17/$G$16</f>
        <v>#DIV/0!</v>
      </c>
    </row>
    <row r="18" spans="2:9" x14ac:dyDescent="0.35">
      <c r="C18" t="s">
        <v>22</v>
      </c>
      <c r="D18" s="4">
        <f>SUMIFS('Processado 2'!H:H,'Processado 2'!G:G,'Base %'!$C18,'Processado 2'!$C:$C,"&lt;01/01/2021")</f>
        <v>0</v>
      </c>
      <c r="E18" s="4">
        <f>SUMIFS('Processado 2'!$H:$H,'Processado 2'!$G:$G,'Base %'!$C18,'Processado 2'!$C:$C,"&gt;31/12/2020",'Processado 2'!$C:$C,"&lt;01/02/2021")</f>
        <v>0</v>
      </c>
      <c r="F18" s="4">
        <f>SUMIFS('Processado 2'!$H:$H,'Processado 2'!$G:$G,'Base %'!$C18,'Processado 2'!$C:$C,"&gt;31/01/2021",'Processado 2'!$C:$C,"&lt;01/03/2021")</f>
        <v>0</v>
      </c>
      <c r="G18" s="4">
        <f t="shared" ref="G18:G19" si="4">SUM(D18:F18)</f>
        <v>0</v>
      </c>
      <c r="H18" s="16" t="e">
        <f>G18/$G$16</f>
        <v>#DIV/0!</v>
      </c>
    </row>
    <row r="19" spans="2:9" x14ac:dyDescent="0.35">
      <c r="C19" t="s">
        <v>20</v>
      </c>
      <c r="D19" s="4">
        <f>SUMIFS('Processado 2'!H:H,'Processado 2'!G:G,'Base %'!$C19,'Processado 2'!$C:$C,"&lt;01/01/2021")</f>
        <v>0</v>
      </c>
      <c r="E19" s="4">
        <f>SUMIFS('Processado 2'!$H:$H,'Processado 2'!$G:$G,'Base %'!$C19,'Processado 2'!$C:$C,"&gt;31/12/2020",'Processado 2'!$C:$C,"&lt;01/02/2021")</f>
        <v>0</v>
      </c>
      <c r="F19" s="4">
        <f>SUMIFS('Processado 2'!$H:$H,'Processado 2'!$G:$G,'Base %'!$C19,'Processado 2'!$C:$C,"&gt;31/01/2021",'Processado 2'!$C:$C,"&lt;01/03/2021")</f>
        <v>0</v>
      </c>
      <c r="G19" s="4">
        <f t="shared" si="4"/>
        <v>0</v>
      </c>
      <c r="H19" s="16" t="e">
        <f t="shared" ref="H19:H20" si="5">G19/$G$16</f>
        <v>#DIV/0!</v>
      </c>
    </row>
    <row r="20" spans="2:9" x14ac:dyDescent="0.35">
      <c r="C20" t="s">
        <v>19</v>
      </c>
      <c r="D20" s="4">
        <f>SUMIFS('Processado 2'!H:H,'Processado 2'!G:G,'Base %'!$C20,'Processado 2'!$C:$C,"&lt;01/01/2021")</f>
        <v>0</v>
      </c>
      <c r="E20" s="4">
        <f>SUMIFS('Processado 2'!$H:$H,'Processado 2'!$G:$G,'Base %'!$C20,'Processado 2'!$C:$C,"&gt;31/12/2020",'Processado 2'!$C:$C,"&lt;01/02/2021")</f>
        <v>0</v>
      </c>
      <c r="F20" s="4">
        <f>SUMIFS('Processado 2'!$H:$H,'Processado 2'!$G:$G,'Base %'!$C20,'Processado 2'!$C:$C,"&gt;31/01/2021",'Processado 2'!$C:$C,"&lt;01/03/2021")</f>
        <v>0</v>
      </c>
      <c r="G20" s="4">
        <f>SUM(D20:F20)</f>
        <v>0</v>
      </c>
      <c r="H20" s="16" t="e">
        <f t="shared" si="5"/>
        <v>#DIV/0!</v>
      </c>
    </row>
    <row r="22" spans="2:9" x14ac:dyDescent="0.35">
      <c r="B22" t="s">
        <v>79</v>
      </c>
      <c r="D22" s="4">
        <f>SUM(D23:D33)</f>
        <v>0</v>
      </c>
      <c r="E22" s="4">
        <f>SUM(E23:E33)</f>
        <v>0</v>
      </c>
      <c r="F22" s="4">
        <f>SUM(F23:F33)</f>
        <v>0</v>
      </c>
      <c r="G22" s="4">
        <f>SUM(G23:G33)</f>
        <v>0</v>
      </c>
      <c r="H22" s="16" t="e">
        <f>G22/$G$61</f>
        <v>#DIV/0!</v>
      </c>
    </row>
    <row r="23" spans="2:9" x14ac:dyDescent="0.35">
      <c r="C23" t="s">
        <v>162</v>
      </c>
      <c r="D23" s="4">
        <f>SUMIF(Tabela!$T:$T,'Base %'!$C23,Tabela!AD:AD)</f>
        <v>0</v>
      </c>
      <c r="E23" s="4">
        <f>SUMIF(Tabela!$T:$T,'Base %'!$C23,Tabela!AE:AE)</f>
        <v>0</v>
      </c>
      <c r="F23" s="4">
        <f>SUMIF(Tabela!$T:$T,'Base %'!$C23,Tabela!AF:AF)</f>
        <v>0</v>
      </c>
      <c r="G23" s="4">
        <f t="shared" ref="G23:G33" si="6">SUM(D23:F23)</f>
        <v>0</v>
      </c>
      <c r="H23" s="16" t="e">
        <f>G23/$G$22</f>
        <v>#DIV/0!</v>
      </c>
      <c r="I23" s="16"/>
    </row>
    <row r="24" spans="2:9" x14ac:dyDescent="0.35">
      <c r="C24" t="s">
        <v>163</v>
      </c>
      <c r="D24" s="4">
        <f>SUMIF(Tabela!$T:$T,'Base %'!$C24,Tabela!AD:AD)</f>
        <v>0</v>
      </c>
      <c r="E24" s="4">
        <f>SUMIF(Tabela!$T:$T,'Base %'!$C24,Tabela!AE:AE)</f>
        <v>0</v>
      </c>
      <c r="F24" s="4">
        <f>SUMIF(Tabela!$T:$T,'Base %'!$C24,Tabela!AF:AF)</f>
        <v>0</v>
      </c>
      <c r="G24" s="4">
        <f>SUM(D24:F24)</f>
        <v>0</v>
      </c>
      <c r="H24" s="16" t="e">
        <f t="shared" ref="H24:H33" si="7">G24/$G$22</f>
        <v>#DIV/0!</v>
      </c>
      <c r="I24" s="16"/>
    </row>
    <row r="25" spans="2:9" x14ac:dyDescent="0.35">
      <c r="C25" t="s">
        <v>80</v>
      </c>
      <c r="D25" s="4">
        <f>SUMIF(Tabela!$T:$T,'Base %'!$C25,Tabela!AD:AD)</f>
        <v>0</v>
      </c>
      <c r="E25" s="4">
        <f>SUMIF(Tabela!$T:$T,'Base %'!$C25,Tabela!AE:AE)</f>
        <v>0</v>
      </c>
      <c r="F25" s="4">
        <f>SUMIF(Tabela!$T:$T,'Base %'!$C25,Tabela!AF:AF)</f>
        <v>0</v>
      </c>
      <c r="G25" s="4">
        <f t="shared" si="6"/>
        <v>0</v>
      </c>
      <c r="H25" s="16" t="e">
        <f t="shared" si="7"/>
        <v>#DIV/0!</v>
      </c>
      <c r="I25" s="16"/>
    </row>
    <row r="26" spans="2:9" x14ac:dyDescent="0.35">
      <c r="C26" t="s">
        <v>164</v>
      </c>
      <c r="D26" s="4">
        <f>SUMIF(Tabela!$T:$T,'Base %'!$C26,Tabela!AD:AD)</f>
        <v>0</v>
      </c>
      <c r="E26" s="4">
        <f>SUMIF(Tabela!$T:$T,'Base %'!$C26,Tabela!AE:AE)</f>
        <v>0</v>
      </c>
      <c r="F26" s="4">
        <f>SUMIF(Tabela!$T:$T,'Base %'!$C26,Tabela!AF:AF)</f>
        <v>0</v>
      </c>
      <c r="G26" s="4">
        <f t="shared" si="6"/>
        <v>0</v>
      </c>
      <c r="H26" s="16" t="e">
        <f t="shared" si="7"/>
        <v>#DIV/0!</v>
      </c>
      <c r="I26" s="16"/>
    </row>
    <row r="27" spans="2:9" x14ac:dyDescent="0.35">
      <c r="C27" t="s">
        <v>24</v>
      </c>
      <c r="D27" s="4">
        <f>SUMIF(Tabela!$T:$T,'Base %'!$C27,Tabela!AD:AD)</f>
        <v>0</v>
      </c>
      <c r="E27" s="4">
        <f>SUMIF(Tabela!$T:$T,'Base %'!$C27,Tabela!AE:AE)</f>
        <v>0</v>
      </c>
      <c r="F27" s="4">
        <f>SUMIF(Tabela!$T:$T,'Base %'!$C27,Tabela!AF:AF)</f>
        <v>0</v>
      </c>
      <c r="G27" s="4">
        <f t="shared" si="6"/>
        <v>0</v>
      </c>
      <c r="H27" s="16" t="e">
        <f t="shared" si="7"/>
        <v>#DIV/0!</v>
      </c>
      <c r="I27" s="16"/>
    </row>
    <row r="28" spans="2:9" x14ac:dyDescent="0.35">
      <c r="C28" t="s">
        <v>27</v>
      </c>
      <c r="D28" s="4">
        <f>SUMIF(Tabela!$T:$T,'Base %'!$C28,Tabela!AD:AD)</f>
        <v>0</v>
      </c>
      <c r="E28" s="4">
        <f>SUMIF(Tabela!$T:$T,'Base %'!$C28,Tabela!AE:AE)</f>
        <v>0</v>
      </c>
      <c r="F28" s="4">
        <f>SUMIF(Tabela!$T:$T,'Base %'!$C28,Tabela!AF:AF)</f>
        <v>0</v>
      </c>
      <c r="G28" s="4">
        <f t="shared" si="6"/>
        <v>0</v>
      </c>
      <c r="H28" s="16" t="e">
        <f t="shared" si="7"/>
        <v>#DIV/0!</v>
      </c>
      <c r="I28" s="16"/>
    </row>
    <row r="29" spans="2:9" x14ac:dyDescent="0.35">
      <c r="C29" t="s">
        <v>165</v>
      </c>
      <c r="D29" s="4">
        <f>SUMIF(Tabela!$T:$T,'Base %'!$C29,Tabela!AD:AD)</f>
        <v>0</v>
      </c>
      <c r="E29" s="4">
        <f>SUMIF(Tabela!$T:$T,'Base %'!$C29,Tabela!AE:AE)</f>
        <v>0</v>
      </c>
      <c r="F29" s="4">
        <f>SUMIF(Tabela!$T:$T,'Base %'!$C29,Tabela!AF:AF)</f>
        <v>0</v>
      </c>
      <c r="G29" s="4">
        <f t="shared" si="6"/>
        <v>0</v>
      </c>
      <c r="H29" s="16" t="e">
        <f t="shared" si="7"/>
        <v>#DIV/0!</v>
      </c>
      <c r="I29" s="16"/>
    </row>
    <row r="30" spans="2:9" x14ac:dyDescent="0.35">
      <c r="C30" t="s">
        <v>26</v>
      </c>
      <c r="D30" s="4">
        <f>SUMIF(Tabela!$T:$T,'Base %'!$C30,Tabela!AD:AD)</f>
        <v>0</v>
      </c>
      <c r="E30" s="4">
        <f>SUMIF(Tabela!$T:$T,'Base %'!$C30,Tabela!AE:AE)</f>
        <v>0</v>
      </c>
      <c r="F30" s="4">
        <f>SUMIF(Tabela!$T:$T,'Base %'!$C30,Tabela!AF:AF)</f>
        <v>0</v>
      </c>
      <c r="G30" s="4">
        <f t="shared" si="6"/>
        <v>0</v>
      </c>
      <c r="H30" s="16" t="e">
        <f t="shared" si="7"/>
        <v>#DIV/0!</v>
      </c>
      <c r="I30" s="16"/>
    </row>
    <row r="31" spans="2:9" x14ac:dyDescent="0.35">
      <c r="C31" t="s">
        <v>166</v>
      </c>
      <c r="D31" s="4">
        <f>SUMIF(Tabela!$T:$T,'Base %'!$C31,Tabela!AD:AD)</f>
        <v>0</v>
      </c>
      <c r="E31" s="4">
        <f>SUMIF(Tabela!$T:$T,'Base %'!$C31,Tabela!AE:AE)</f>
        <v>0</v>
      </c>
      <c r="F31" s="4">
        <f>SUMIF(Tabela!$T:$T,'Base %'!$C31,Tabela!AF:AF)</f>
        <v>0</v>
      </c>
      <c r="G31" s="4">
        <f t="shared" si="6"/>
        <v>0</v>
      </c>
      <c r="H31" s="16" t="e">
        <f t="shared" si="7"/>
        <v>#DIV/0!</v>
      </c>
      <c r="I31" s="16"/>
    </row>
    <row r="32" spans="2:9" x14ac:dyDescent="0.35">
      <c r="C32" t="s">
        <v>25</v>
      </c>
      <c r="D32" s="4">
        <f>SUMIF(Tabela!$T:$T,'Base %'!$C32,Tabela!AD:AD)</f>
        <v>0</v>
      </c>
      <c r="E32" s="4">
        <f>SUMIF(Tabela!$T:$T,'Base %'!$C32,Tabela!AE:AE)</f>
        <v>0</v>
      </c>
      <c r="F32" s="4">
        <f>SUMIF(Tabela!$T:$T,'Base %'!$C32,Tabela!AF:AF)</f>
        <v>0</v>
      </c>
      <c r="G32" s="4">
        <f t="shared" si="6"/>
        <v>0</v>
      </c>
      <c r="H32" s="16" t="e">
        <f t="shared" si="7"/>
        <v>#DIV/0!</v>
      </c>
      <c r="I32" s="16"/>
    </row>
    <row r="33" spans="2:9" x14ac:dyDescent="0.35">
      <c r="C33" t="s">
        <v>167</v>
      </c>
      <c r="D33" s="4">
        <f>SUMIF(Tabela!$T:$T,'Base %'!$C33,Tabela!AD:AD)</f>
        <v>0</v>
      </c>
      <c r="E33" s="4">
        <f>SUMIF(Tabela!$T:$T,'Base %'!$C33,Tabela!AE:AE)</f>
        <v>0</v>
      </c>
      <c r="F33" s="4">
        <f>SUMIF(Tabela!$T:$T,'Base %'!$C33,Tabela!AF:AF)</f>
        <v>0</v>
      </c>
      <c r="G33" s="4">
        <f t="shared" si="6"/>
        <v>0</v>
      </c>
      <c r="H33" s="16" t="e">
        <f t="shared" si="7"/>
        <v>#DIV/0!</v>
      </c>
      <c r="I33" s="16"/>
    </row>
    <row r="35" spans="2:9" x14ac:dyDescent="0.35">
      <c r="B35" t="s">
        <v>81</v>
      </c>
      <c r="D35" s="4">
        <f>SUM(D36:D43)</f>
        <v>0</v>
      </c>
      <c r="E35" s="4">
        <f>SUM(E36:E43)</f>
        <v>0</v>
      </c>
      <c r="F35" s="4">
        <f>SUM(F36:F43)</f>
        <v>0</v>
      </c>
      <c r="G35" s="4">
        <f>SUM(G36:G43)</f>
        <v>0</v>
      </c>
      <c r="H35" s="16" t="e">
        <f>G35/$G$61</f>
        <v>#DIV/0!</v>
      </c>
    </row>
    <row r="36" spans="2:9" x14ac:dyDescent="0.35">
      <c r="C36" t="s">
        <v>168</v>
      </c>
      <c r="D36" s="4">
        <f>SUMIFS('Processado 2'!H:H,'Processado 2'!G:G,'Base %'!$C36,'Processado 2'!$C:$C,"&lt;01/01/2021")</f>
        <v>0</v>
      </c>
      <c r="E36" s="4">
        <f>SUMIFS('Processado 2'!$H:$H,'Processado 2'!$G:$G,'Base %'!$C36,'Processado 2'!$C:$C,"&gt;31/12/2020",'Processado 2'!$C:$C,"&lt;01/02/2021")</f>
        <v>0</v>
      </c>
      <c r="F36" s="4">
        <f>SUMIFS('Processado 2'!$H:$H,'Processado 2'!$G:$G,'Base %'!$C36,'Processado 2'!$C:$C,"&gt;31/01/2021",'Processado 2'!$C:$C,"&lt;01/03/2021")</f>
        <v>0</v>
      </c>
      <c r="G36" s="4">
        <f t="shared" ref="G36:G42" si="8">SUM(D36:F36)</f>
        <v>0</v>
      </c>
      <c r="H36" s="16" t="e">
        <f>G36/$G$35</f>
        <v>#DIV/0!</v>
      </c>
    </row>
    <row r="37" spans="2:9" x14ac:dyDescent="0.35">
      <c r="C37" t="s">
        <v>169</v>
      </c>
      <c r="D37" s="4">
        <f>SUMIFS('Processado 2'!H:H,'Processado 2'!G:G,'Base %'!$C37,'Processado 2'!$C:$C,"&lt;01/01/2021")</f>
        <v>0</v>
      </c>
      <c r="E37" s="4">
        <f>SUMIFS('Processado 2'!$H:$H,'Processado 2'!$G:$G,'Base %'!$C37,'Processado 2'!$C:$C,"&gt;31/12/2020",'Processado 2'!$C:$C,"&lt;01/02/2021")</f>
        <v>0</v>
      </c>
      <c r="F37" s="4">
        <f>SUMIFS('Processado 2'!$H:$H,'Processado 2'!$G:$G,'Base %'!$C37,'Processado 2'!$C:$C,"&gt;31/01/2021",'Processado 2'!$C:$C,"&lt;01/03/2021")</f>
        <v>0</v>
      </c>
      <c r="G37" s="4">
        <f t="shared" si="8"/>
        <v>0</v>
      </c>
      <c r="H37" s="16" t="e">
        <f t="shared" ref="H37:H42" si="9">G37/$G$35</f>
        <v>#DIV/0!</v>
      </c>
    </row>
    <row r="38" spans="2:9" x14ac:dyDescent="0.35">
      <c r="C38" t="s">
        <v>170</v>
      </c>
      <c r="D38" s="4">
        <f>SUMIFS('Processado 2'!H:H,'Processado 2'!G:G,'Base %'!$C38,'Processado 2'!$C:$C,"&lt;01/01/2021")</f>
        <v>0</v>
      </c>
      <c r="E38" s="4">
        <f>SUMIFS('Processado 2'!$H:$H,'Processado 2'!$G:$G,'Base %'!$C38,'Processado 2'!$C:$C,"&gt;31/12/2020",'Processado 2'!$C:$C,"&lt;01/02/2021")</f>
        <v>0</v>
      </c>
      <c r="F38" s="4">
        <f>SUMIFS('Processado 2'!$H:$H,'Processado 2'!$G:$G,'Base %'!$C38,'Processado 2'!$C:$C,"&gt;31/01/2021",'Processado 2'!$C:$C,"&lt;01/03/2021")</f>
        <v>0</v>
      </c>
      <c r="G38" s="4">
        <f t="shared" si="8"/>
        <v>0</v>
      </c>
      <c r="H38" s="16" t="e">
        <f t="shared" si="9"/>
        <v>#DIV/0!</v>
      </c>
    </row>
    <row r="39" spans="2:9" x14ac:dyDescent="0.35">
      <c r="C39" t="s">
        <v>171</v>
      </c>
      <c r="D39" s="4">
        <f>SUMIFS('Processado 2'!H:H,'Processado 2'!G:G,'Base %'!$C39,'Processado 2'!$C:$C,"&lt;01/01/2021")</f>
        <v>0</v>
      </c>
      <c r="E39" s="4">
        <f>SUMIFS('Processado 2'!$H:$H,'Processado 2'!$G:$G,'Base %'!$C39,'Processado 2'!$C:$C,"&gt;31/12/2020",'Processado 2'!$C:$C,"&lt;01/02/2021")</f>
        <v>0</v>
      </c>
      <c r="F39" s="4">
        <f>SUMIFS('Processado 2'!$H:$H,'Processado 2'!$G:$G,'Base %'!$C39,'Processado 2'!$C:$C,"&gt;31/01/2021",'Processado 2'!$C:$C,"&lt;01/03/2021")</f>
        <v>0</v>
      </c>
      <c r="G39" s="4">
        <f t="shared" si="8"/>
        <v>0</v>
      </c>
      <c r="H39" s="16" t="e">
        <f t="shared" si="9"/>
        <v>#DIV/0!</v>
      </c>
    </row>
    <row r="40" spans="2:9" x14ac:dyDescent="0.35">
      <c r="C40" t="s">
        <v>172</v>
      </c>
      <c r="D40" s="4">
        <f>SUMIFS('Processado 2'!H:H,'Processado 2'!G:G,'Base %'!$C40,'Processado 2'!$C:$C,"&lt;01/01/2021")</f>
        <v>0</v>
      </c>
      <c r="E40" s="4">
        <f>SUMIFS('Processado 2'!$H:$H,'Processado 2'!$G:$G,'Base %'!$C40,'Processado 2'!$C:$C,"&gt;31/12/2020",'Processado 2'!$C:$C,"&lt;01/02/2021")</f>
        <v>0</v>
      </c>
      <c r="F40" s="4">
        <f>SUMIFS('Processado 2'!$H:$H,'Processado 2'!$G:$G,'Base %'!$C40,'Processado 2'!$C:$C,"&gt;31/01/2021",'Processado 2'!$C:$C,"&lt;01/03/2021")</f>
        <v>0</v>
      </c>
      <c r="G40" s="4">
        <f t="shared" si="8"/>
        <v>0</v>
      </c>
      <c r="H40" s="16" t="e">
        <f>G40/$G$35</f>
        <v>#DIV/0!</v>
      </c>
    </row>
    <row r="41" spans="2:9" x14ac:dyDescent="0.35">
      <c r="C41" t="s">
        <v>173</v>
      </c>
      <c r="D41" s="4">
        <f>SUMIFS('Processado 2'!H:H,'Processado 2'!G:G,'Base %'!$C41,'Processado 2'!$C:$C,"&lt;01/01/2021")</f>
        <v>0</v>
      </c>
      <c r="E41" s="4">
        <f>SUMIFS('Processado 2'!$H:$H,'Processado 2'!$G:$G,'Base %'!$C41,'Processado 2'!$C:$C,"&gt;31/12/2020",'Processado 2'!$C:$C,"&lt;01/02/2021")</f>
        <v>0</v>
      </c>
      <c r="F41" s="4">
        <f>SUMIFS('Processado 2'!$H:$H,'Processado 2'!$G:$G,'Base %'!$C41,'Processado 2'!$C:$C,"&gt;31/01/2021",'Processado 2'!$C:$C,"&lt;01/03/2021")</f>
        <v>0</v>
      </c>
      <c r="G41" s="4">
        <f t="shared" si="8"/>
        <v>0</v>
      </c>
      <c r="H41" s="16" t="e">
        <f t="shared" si="9"/>
        <v>#DIV/0!</v>
      </c>
    </row>
    <row r="42" spans="2:9" x14ac:dyDescent="0.35">
      <c r="C42" t="s">
        <v>174</v>
      </c>
      <c r="D42" s="4">
        <f>SUMIFS('Processado 2'!H:H,'Processado 2'!G:G,'Base %'!$C42,'Processado 2'!$C:$C,"&lt;01/01/2021")</f>
        <v>0</v>
      </c>
      <c r="E42" s="4">
        <f>SUMIFS('Processado 2'!$H:$H,'Processado 2'!$G:$G,'Base %'!$C42,'Processado 2'!$C:$C,"&gt;31/12/2020",'Processado 2'!$C:$C,"&lt;01/02/2021")</f>
        <v>0</v>
      </c>
      <c r="F42" s="4">
        <f>SUMIFS('Processado 2'!$H:$H,'Processado 2'!$G:$G,'Base %'!$C42,'Processado 2'!$C:$C,"&gt;31/01/2021",'Processado 2'!$C:$C,"&lt;01/03/2021")</f>
        <v>0</v>
      </c>
      <c r="G42" s="4">
        <f t="shared" si="8"/>
        <v>0</v>
      </c>
      <c r="H42" s="16" t="e">
        <f t="shared" si="9"/>
        <v>#DIV/0!</v>
      </c>
    </row>
    <row r="43" spans="2:9" x14ac:dyDescent="0.35">
      <c r="C43" t="s">
        <v>175</v>
      </c>
      <c r="D43" s="4">
        <f>SUMIFS('Processado 2'!H:H,'Processado 2'!G:G,'Base %'!$C43,'Processado 2'!$C:$C,"&lt;01/01/2021")</f>
        <v>0</v>
      </c>
      <c r="E43" s="4">
        <f>SUMIFS('Processado 2'!$H:$H,'Processado 2'!$G:$G,'Base %'!$C43,'Processado 2'!$C:$C,"&gt;31/12/2020",'Processado 2'!$C:$C,"&lt;01/02/2021")</f>
        <v>0</v>
      </c>
      <c r="F43" s="4">
        <f>SUMIFS('Processado 2'!$H:$H,'Processado 2'!$G:$G,'Base %'!$C43,'Processado 2'!$C:$C,"&gt;31/01/2021",'Processado 2'!$C:$C,"&lt;01/03/2021")</f>
        <v>0</v>
      </c>
      <c r="G43" s="4">
        <f t="shared" ref="G43" si="10">SUM(D43:F43)</f>
        <v>0</v>
      </c>
      <c r="H43" s="16" t="e">
        <f>G43/$G$35</f>
        <v>#DIV/0!</v>
      </c>
    </row>
    <row r="44" spans="2:9" x14ac:dyDescent="0.35">
      <c r="D44" s="4"/>
      <c r="E44" s="4"/>
      <c r="F44" s="4"/>
    </row>
    <row r="45" spans="2:9" x14ac:dyDescent="0.35">
      <c r="B45" t="s">
        <v>95</v>
      </c>
      <c r="D45" s="4">
        <f>SUM(D46:D52)</f>
        <v>0</v>
      </c>
      <c r="E45" s="4">
        <f>SUM(E46:E52)</f>
        <v>0</v>
      </c>
      <c r="F45" s="4">
        <f>SUM(F46:F52)</f>
        <v>0</v>
      </c>
      <c r="G45" s="4">
        <f>SUM(G46:G52)</f>
        <v>0</v>
      </c>
      <c r="H45" s="16" t="e">
        <f>G45/$G$61</f>
        <v>#DIV/0!</v>
      </c>
    </row>
    <row r="46" spans="2:9" x14ac:dyDescent="0.35">
      <c r="C46" t="s">
        <v>176</v>
      </c>
      <c r="D46" s="4">
        <f>SUMIFS('Processado 2'!H:H,'Processado 2'!G:G,'Base %'!$C46,'Processado 2'!$C:$C,"&lt;01/01/2021")</f>
        <v>0</v>
      </c>
      <c r="E46" s="4">
        <f>SUMIFS('Processado 2'!$H:$H,'Processado 2'!$G:$G,'Base %'!$C46,'Processado 2'!$C:$C,"&gt;31/12/2020",'Processado 2'!$C:$C,"&lt;01/02/2021")</f>
        <v>0</v>
      </c>
      <c r="F46" s="4">
        <f>SUMIFS('Processado 2'!$H:$H,'Processado 2'!$G:$G,'Base %'!$C46,'Processado 2'!$C:$C,"&gt;31/01/2021",'Processado 2'!$C:$C,"&lt;01/03/2021")</f>
        <v>0</v>
      </c>
      <c r="G46" s="4">
        <f t="shared" ref="G46:G52" si="11">SUM(D46:F46)</f>
        <v>0</v>
      </c>
      <c r="H46" s="16" t="e">
        <f>G46/$G$45</f>
        <v>#DIV/0!</v>
      </c>
    </row>
    <row r="47" spans="2:9" x14ac:dyDescent="0.35">
      <c r="C47" t="s">
        <v>177</v>
      </c>
      <c r="D47" s="4">
        <f>SUMIFS('Processado 2'!H:H,'Processado 2'!G:G,'Base %'!$C47,'Processado 2'!$C:$C,"&lt;01/01/2021")</f>
        <v>0</v>
      </c>
      <c r="E47" s="4">
        <f>SUMIFS('Processado 2'!$H:$H,'Processado 2'!$G:$G,'Base %'!$C47,'Processado 2'!$C:$C,"&gt;31/12/2020",'Processado 2'!$C:$C,"&lt;01/02/2021")</f>
        <v>0</v>
      </c>
      <c r="F47" s="4">
        <f>SUMIFS('Processado 2'!$H:$H,'Processado 2'!$G:$G,'Base %'!$C47,'Processado 2'!$C:$C,"&gt;31/01/2021",'Processado 2'!$C:$C,"&lt;01/03/2021")</f>
        <v>0</v>
      </c>
      <c r="G47" s="4">
        <f t="shared" si="11"/>
        <v>0</v>
      </c>
      <c r="H47" s="16" t="e">
        <f t="shared" ref="H47:H52" si="12">G47/$G$45</f>
        <v>#DIV/0!</v>
      </c>
    </row>
    <row r="48" spans="2:9" x14ac:dyDescent="0.35">
      <c r="C48" t="s">
        <v>31</v>
      </c>
      <c r="D48" s="4">
        <f>SUMIFS('Processado 2'!H:H,'Processado 2'!G:G,'Base %'!$C48,'Processado 2'!$C:$C,"&lt;01/01/2021")</f>
        <v>0</v>
      </c>
      <c r="E48" s="4">
        <f>SUMIFS('Processado 2'!$H:$H,'Processado 2'!$G:$G,'Base %'!$C48,'Processado 2'!$C:$C,"&gt;31/12/2020",'Processado 2'!$C:$C,"&lt;01/02/2021")</f>
        <v>0</v>
      </c>
      <c r="F48" s="4">
        <f>SUMIFS('Processado 2'!$H:$H,'Processado 2'!$G:$G,'Base %'!$C48,'Processado 2'!$C:$C,"&gt;31/01/2021",'Processado 2'!$C:$C,"&lt;01/03/2021")</f>
        <v>0</v>
      </c>
      <c r="G48" s="4">
        <f t="shared" si="11"/>
        <v>0</v>
      </c>
      <c r="H48" s="16" t="e">
        <f t="shared" si="12"/>
        <v>#DIV/0!</v>
      </c>
    </row>
    <row r="49" spans="2:8" x14ac:dyDescent="0.35">
      <c r="C49" t="s">
        <v>34</v>
      </c>
      <c r="D49" s="4">
        <f>SUMIFS('Processado 2'!H:H,'Processado 2'!G:G,'Base %'!$C49,'Processado 2'!$C:$C,"&lt;01/01/2021")</f>
        <v>0</v>
      </c>
      <c r="E49" s="4">
        <f>SUMIFS('Processado 2'!$H:$H,'Processado 2'!$G:$G,'Base %'!$C49,'Processado 2'!$C:$C,"&gt;31/12/2020",'Processado 2'!$C:$C,"&lt;01/02/2021")</f>
        <v>0</v>
      </c>
      <c r="F49" s="4">
        <f>SUMIFS('Processado 2'!$H:$H,'Processado 2'!$G:$G,'Base %'!$C49,'Processado 2'!$C:$C,"&gt;31/01/2021",'Processado 2'!$C:$C,"&lt;01/03/2021")</f>
        <v>0</v>
      </c>
      <c r="G49" s="4">
        <f t="shared" si="11"/>
        <v>0</v>
      </c>
      <c r="H49" s="16" t="e">
        <f t="shared" si="12"/>
        <v>#DIV/0!</v>
      </c>
    </row>
    <row r="50" spans="2:8" x14ac:dyDescent="0.35">
      <c r="C50" t="s">
        <v>35</v>
      </c>
      <c r="D50" s="4">
        <f>SUMIFS('Processado 2'!H:H,'Processado 2'!G:G,'Base %'!$C50,'Processado 2'!$C:$C,"&lt;01/01/2021")</f>
        <v>0</v>
      </c>
      <c r="E50" s="4">
        <f>SUMIFS('Processado 2'!$H:$H,'Processado 2'!$G:$G,'Base %'!$C50,'Processado 2'!$C:$C,"&gt;31/12/2020",'Processado 2'!$C:$C,"&lt;01/02/2021")</f>
        <v>0</v>
      </c>
      <c r="F50" s="4">
        <f>SUMIFS('Processado 2'!$H:$H,'Processado 2'!$G:$G,'Base %'!$C50,'Processado 2'!$C:$C,"&gt;31/01/2021",'Processado 2'!$C:$C,"&lt;01/03/2021")</f>
        <v>0</v>
      </c>
      <c r="G50" s="4">
        <f t="shared" si="11"/>
        <v>0</v>
      </c>
      <c r="H50" s="16" t="e">
        <f t="shared" si="12"/>
        <v>#DIV/0!</v>
      </c>
    </row>
    <row r="51" spans="2:8" x14ac:dyDescent="0.35">
      <c r="C51" t="s">
        <v>36</v>
      </c>
      <c r="D51" s="4">
        <f>SUMIFS('Processado 2'!H:H,'Processado 2'!G:G,'Base %'!$C51,'Processado 2'!$C:$C,"&lt;01/01/2021")</f>
        <v>0</v>
      </c>
      <c r="E51" s="4">
        <f>SUMIFS('Processado 2'!$H:$H,'Processado 2'!$G:$G,'Base %'!$C51,'Processado 2'!$C:$C,"&gt;31/12/2020",'Processado 2'!$C:$C,"&lt;01/02/2021")</f>
        <v>0</v>
      </c>
      <c r="F51" s="4">
        <f>SUMIFS('Processado 2'!$H:$H,'Processado 2'!$G:$G,'Base %'!$C51,'Processado 2'!$C:$C,"&gt;31/01/2021",'Processado 2'!$C:$C,"&lt;01/03/2021")</f>
        <v>0</v>
      </c>
      <c r="G51" s="4">
        <f t="shared" si="11"/>
        <v>0</v>
      </c>
      <c r="H51" s="16" t="e">
        <f t="shared" si="12"/>
        <v>#DIV/0!</v>
      </c>
    </row>
    <row r="52" spans="2:8" x14ac:dyDescent="0.35">
      <c r="C52" t="s">
        <v>37</v>
      </c>
      <c r="D52" s="4">
        <f>SUMIFS('Processado 2'!H:H,'Processado 2'!G:G,'Base %'!$C52,'Processado 2'!$C:$C,"&lt;01/01/2021")</f>
        <v>0</v>
      </c>
      <c r="E52" s="4">
        <f>SUMIFS('Processado 2'!$H:$H,'Processado 2'!$G:$G,'Base %'!$C52,'Processado 2'!$C:$C,"&gt;31/12/2020",'Processado 2'!$C:$C,"&lt;01/02/2021")</f>
        <v>0</v>
      </c>
      <c r="F52" s="4">
        <f>SUMIFS('Processado 2'!$H:$H,'Processado 2'!$G:$G,'Base %'!$C52,'Processado 2'!$C:$C,"&gt;31/01/2021",'Processado 2'!$C:$C,"&lt;01/03/2021")</f>
        <v>0</v>
      </c>
      <c r="G52" s="4">
        <f t="shared" si="11"/>
        <v>0</v>
      </c>
      <c r="H52" s="16" t="e">
        <f t="shared" si="12"/>
        <v>#DIV/0!</v>
      </c>
    </row>
    <row r="54" spans="2:8" x14ac:dyDescent="0.35">
      <c r="B54" t="s">
        <v>97</v>
      </c>
      <c r="D54" s="4">
        <f>SUM(D55)</f>
        <v>0</v>
      </c>
      <c r="E54" s="4">
        <f t="shared" ref="E54:G54" si="13">SUM(E55)</f>
        <v>0</v>
      </c>
      <c r="F54" s="4">
        <f t="shared" si="13"/>
        <v>0</v>
      </c>
      <c r="G54" s="4">
        <f t="shared" si="13"/>
        <v>0</v>
      </c>
      <c r="H54" s="16" t="e">
        <f>G54/$G$61</f>
        <v>#DIV/0!</v>
      </c>
    </row>
    <row r="55" spans="2:8" x14ac:dyDescent="0.35">
      <c r="C55" t="s">
        <v>178</v>
      </c>
      <c r="D55" s="4">
        <f>SUMIFS('Processado 2'!H:H,'Processado 2'!G:G,'Base %'!$C55,'Processado 2'!$C:$C,"&lt;01/01/2021")</f>
        <v>0</v>
      </c>
      <c r="E55" s="4">
        <f>SUMIFS('Processado 2'!$H:$H,'Processado 2'!$G:$G,'Base %'!$C55,'Processado 2'!$C:$C,"&gt;31/12/2020",'Processado 2'!$C:$C,"&lt;01/02/2021")</f>
        <v>0</v>
      </c>
      <c r="F55" s="4">
        <f>SUMIFS('Processado 2'!$H:$H,'Processado 2'!$G:$G,'Base %'!$C55,'Processado 2'!$C:$C,"&gt;31/01/2021",'Processado 2'!$C:$C,"&lt;01/03/2021")</f>
        <v>0</v>
      </c>
      <c r="G55" s="4">
        <f t="shared" ref="G55" si="14">SUM(D55:F55)</f>
        <v>0</v>
      </c>
      <c r="H55" s="16" t="e">
        <f>G55/$G$54</f>
        <v>#DIV/0!</v>
      </c>
    </row>
    <row r="57" spans="2:8" x14ac:dyDescent="0.35">
      <c r="B57" t="s">
        <v>111</v>
      </c>
      <c r="D57" s="4">
        <f>SUM(D58:D59)</f>
        <v>0</v>
      </c>
      <c r="E57" s="4">
        <f t="shared" ref="E57:G57" si="15">SUM(E58:E59)</f>
        <v>0</v>
      </c>
      <c r="F57" s="4">
        <f t="shared" si="15"/>
        <v>0</v>
      </c>
      <c r="G57" s="4">
        <f t="shared" si="15"/>
        <v>0</v>
      </c>
      <c r="H57" s="16" t="e">
        <f>G57/$G$61</f>
        <v>#DIV/0!</v>
      </c>
    </row>
    <row r="58" spans="2:8" x14ac:dyDescent="0.35">
      <c r="C58" t="s">
        <v>38</v>
      </c>
      <c r="D58" s="4">
        <f>SUMIFS('Processado 2'!H:H,'Processado 2'!G:G,'Base %'!$C58,'Processado 2'!$C:$C,"&lt;01/01/2021")</f>
        <v>0</v>
      </c>
      <c r="E58" s="4">
        <f>SUMIFS('Processado 2'!$H:$H,'Processado 2'!$G:$G,'Base %'!$C58,'Processado 2'!$C:$C,"&gt;31/12/2020",'Processado 2'!$C:$C,"&lt;01/02/2021")</f>
        <v>0</v>
      </c>
      <c r="F58" s="4">
        <f>SUMIFS('Processado 2'!$H:$H,'Processado 2'!$G:$G,'Base %'!$C58,'Processado 2'!$C:$C,"&gt;31/01/2021",'Processado 2'!$C:$C,"&lt;01/03/2021")</f>
        <v>0</v>
      </c>
      <c r="G58" s="4">
        <f t="shared" ref="G58:G59" si="16">SUM(D58:F58)</f>
        <v>0</v>
      </c>
      <c r="H58" s="16" t="e">
        <f>G58/$G$57</f>
        <v>#DIV/0!</v>
      </c>
    </row>
    <row r="59" spans="2:8" x14ac:dyDescent="0.35">
      <c r="C59" t="s">
        <v>40</v>
      </c>
      <c r="D59" s="4">
        <f>SUMIFS('Processado 2'!H:H,'Processado 2'!G:G,'Base %'!$C59,'Processado 2'!$C:$C,"&lt;01/01/2021")</f>
        <v>0</v>
      </c>
      <c r="E59" s="4">
        <f>SUMIFS('Processado 2'!$H:$H,'Processado 2'!$G:$G,'Base %'!$C59,'Processado 2'!$C:$C,"&gt;31/12/2020",'Processado 2'!$C:$C,"&lt;01/02/2021")</f>
        <v>0</v>
      </c>
      <c r="F59" s="4">
        <f>SUMIFS('Processado 2'!$H:$H,'Processado 2'!$G:$G,'Base %'!$C59,'Processado 2'!$C:$C,"&gt;31/01/2021",'Processado 2'!$C:$C,"&lt;01/03/2021")</f>
        <v>0</v>
      </c>
      <c r="G59" s="4">
        <f t="shared" si="16"/>
        <v>0</v>
      </c>
      <c r="H59" s="16" t="e">
        <f>G59/$G$57</f>
        <v>#DIV/0!</v>
      </c>
    </row>
    <row r="61" spans="2:8" x14ac:dyDescent="0.35">
      <c r="B61" t="s">
        <v>7</v>
      </c>
      <c r="D61" s="4">
        <f>SUM(D57,D54,D45,D35,D22,D16,D3)</f>
        <v>0</v>
      </c>
      <c r="E61" s="4">
        <f>SUM(E57,E54,E45,E35,E22,E16,E3)</f>
        <v>0</v>
      </c>
      <c r="F61" s="4">
        <f>SUM(F57,F54,F45,F35,F22,F16,F3)</f>
        <v>0</v>
      </c>
      <c r="G61" s="4">
        <f>SUM(G57,G54,G45,G35,G22,G16,G3)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:B26"/>
  <sheetViews>
    <sheetView workbookViewId="0">
      <selection activeCell="C4" sqref="C4:C8"/>
    </sheetView>
  </sheetViews>
  <sheetFormatPr defaultRowHeight="14.5" x14ac:dyDescent="0.35"/>
  <cols>
    <col min="1" max="1" width="45.1796875" bestFit="1" customWidth="1"/>
    <col min="2" max="2" width="9.26953125" bestFit="1" customWidth="1"/>
  </cols>
  <sheetData>
    <row r="1" spans="1:2" x14ac:dyDescent="0.35">
      <c r="A1" s="91" t="s">
        <v>179</v>
      </c>
      <c r="B1" s="91"/>
    </row>
    <row r="2" spans="1:2" ht="15.5" x14ac:dyDescent="0.35">
      <c r="A2" s="62" t="s">
        <v>180</v>
      </c>
      <c r="B2" s="62" t="s">
        <v>1</v>
      </c>
    </row>
    <row r="3" spans="1:2" ht="15.5" x14ac:dyDescent="0.35">
      <c r="A3" s="63" t="s">
        <v>181</v>
      </c>
      <c r="B3" s="64">
        <v>0.27800000000000002</v>
      </c>
    </row>
    <row r="4" spans="1:2" ht="15.5" x14ac:dyDescent="0.35">
      <c r="A4" s="65" t="s">
        <v>182</v>
      </c>
      <c r="B4" s="66">
        <v>0.08</v>
      </c>
    </row>
    <row r="5" spans="1:2" ht="15.5" x14ac:dyDescent="0.35">
      <c r="A5" s="65" t="s">
        <v>183</v>
      </c>
      <c r="B5" s="67">
        <f>B4*0.4</f>
        <v>3.2000000000000001E-2</v>
      </c>
    </row>
    <row r="6" spans="1:2" ht="15.5" x14ac:dyDescent="0.35">
      <c r="A6" s="63" t="s">
        <v>184</v>
      </c>
      <c r="B6" s="64">
        <f>B5*B3</f>
        <v>8.8960000000000011E-3</v>
      </c>
    </row>
    <row r="7" spans="1:2" ht="15.5" x14ac:dyDescent="0.35">
      <c r="A7" s="63" t="s">
        <v>185</v>
      </c>
      <c r="B7" s="68">
        <f>(1/3)/12</f>
        <v>2.7777777777777776E-2</v>
      </c>
    </row>
    <row r="8" spans="1:2" ht="15.5" x14ac:dyDescent="0.35">
      <c r="A8" s="63" t="s">
        <v>186</v>
      </c>
      <c r="B8" s="68">
        <f>(1/12)</f>
        <v>8.3333333333333329E-2</v>
      </c>
    </row>
    <row r="9" spans="1:2" ht="15.5" x14ac:dyDescent="0.35">
      <c r="A9" s="63" t="s">
        <v>187</v>
      </c>
      <c r="B9" s="68">
        <f>(1/12)*0.03</f>
        <v>2.4999999999999996E-3</v>
      </c>
    </row>
    <row r="10" spans="1:2" ht="15.5" x14ac:dyDescent="0.35">
      <c r="A10" s="63" t="s">
        <v>188</v>
      </c>
      <c r="B10" s="64">
        <f>SUM(B7:B9)*SUM(B3:B4)</f>
        <v>4.067277777777778E-2</v>
      </c>
    </row>
    <row r="11" spans="1:2" ht="15.5" x14ac:dyDescent="0.35">
      <c r="A11" s="63" t="s">
        <v>0</v>
      </c>
      <c r="B11" s="68">
        <f>SUBTOTAL(109,TB_Enc_Sem_CEBAS[%])</f>
        <v>0.55317988888888892</v>
      </c>
    </row>
    <row r="12" spans="1:2" ht="15.5" x14ac:dyDescent="0.35">
      <c r="A12" s="63"/>
      <c r="B12" s="68"/>
    </row>
    <row r="13" spans="1:2" ht="15.5" x14ac:dyDescent="0.35">
      <c r="A13" t="s">
        <v>189</v>
      </c>
      <c r="B13" s="68"/>
    </row>
    <row r="14" spans="1:2" x14ac:dyDescent="0.35">
      <c r="A14" t="s">
        <v>190</v>
      </c>
      <c r="B14" s="69"/>
    </row>
    <row r="15" spans="1:2" x14ac:dyDescent="0.35">
      <c r="B15" s="69"/>
    </row>
    <row r="16" spans="1:2" x14ac:dyDescent="0.35">
      <c r="A16" s="91" t="s">
        <v>191</v>
      </c>
      <c r="B16" s="91"/>
    </row>
    <row r="17" spans="1:2" ht="15.5" x14ac:dyDescent="0.35">
      <c r="A17" s="62" t="s">
        <v>180</v>
      </c>
      <c r="B17" s="62" t="s">
        <v>1</v>
      </c>
    </row>
    <row r="18" spans="1:2" ht="15.5" x14ac:dyDescent="0.35">
      <c r="A18" s="63" t="s">
        <v>192</v>
      </c>
      <c r="B18" s="64">
        <v>5.8000000000000003E-2</v>
      </c>
    </row>
    <row r="19" spans="1:2" ht="15.5" x14ac:dyDescent="0.35">
      <c r="A19" s="65" t="s">
        <v>182</v>
      </c>
      <c r="B19" s="66">
        <v>0.08</v>
      </c>
    </row>
    <row r="20" spans="1:2" ht="15.5" x14ac:dyDescent="0.35">
      <c r="A20" s="65" t="s">
        <v>183</v>
      </c>
      <c r="B20" s="67">
        <f>B19*0.4</f>
        <v>3.2000000000000001E-2</v>
      </c>
    </row>
    <row r="21" spans="1:2" ht="15.5" x14ac:dyDescent="0.35">
      <c r="A21" s="63" t="s">
        <v>184</v>
      </c>
      <c r="B21" s="64">
        <f>B20*B18</f>
        <v>1.8560000000000002E-3</v>
      </c>
    </row>
    <row r="22" spans="1:2" ht="15.5" x14ac:dyDescent="0.35">
      <c r="A22" s="63" t="s">
        <v>185</v>
      </c>
      <c r="B22" s="68">
        <f>(1/3)/12</f>
        <v>2.7777777777777776E-2</v>
      </c>
    </row>
    <row r="23" spans="1:2" ht="15.5" x14ac:dyDescent="0.35">
      <c r="A23" s="63" t="s">
        <v>186</v>
      </c>
      <c r="B23" s="68">
        <f>(1/12)</f>
        <v>8.3333333333333329E-2</v>
      </c>
    </row>
    <row r="24" spans="1:2" ht="15.5" x14ac:dyDescent="0.35">
      <c r="A24" s="63" t="s">
        <v>187</v>
      </c>
      <c r="B24" s="68">
        <f>(1/12)*0.03</f>
        <v>2.4999999999999996E-3</v>
      </c>
    </row>
    <row r="25" spans="1:2" ht="15.5" x14ac:dyDescent="0.35">
      <c r="A25" s="63" t="s">
        <v>188</v>
      </c>
      <c r="B25" s="64">
        <f>SUM(B22:B24)*SUM(B18:B19)</f>
        <v>1.5678333333333336E-2</v>
      </c>
    </row>
    <row r="26" spans="1:2" ht="15.5" x14ac:dyDescent="0.35">
      <c r="A26" s="63" t="s">
        <v>0</v>
      </c>
      <c r="B26" s="68">
        <f>SUBTOTAL(109,Tb_Enc_c_CEBAS[%])</f>
        <v>0.30114544444444447</v>
      </c>
    </row>
  </sheetData>
  <mergeCells count="2">
    <mergeCell ref="A1:B1"/>
    <mergeCell ref="A16:B16"/>
  </mergeCells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AO299"/>
  <sheetViews>
    <sheetView workbookViewId="0">
      <selection activeCell="B1" sqref="B1"/>
    </sheetView>
  </sheetViews>
  <sheetFormatPr defaultRowHeight="14.5" x14ac:dyDescent="0.35"/>
  <cols>
    <col min="1" max="1" width="30.7265625" customWidth="1"/>
    <col min="2" max="2" width="44" bestFit="1" customWidth="1"/>
    <col min="3" max="3" width="32.54296875" bestFit="1" customWidth="1"/>
    <col min="10" max="13" width="11.7265625" bestFit="1" customWidth="1"/>
    <col min="14" max="14" width="10.453125" bestFit="1" customWidth="1"/>
    <col min="15" max="15" width="10.1796875" bestFit="1" customWidth="1"/>
    <col min="19" max="19" width="13.54296875" bestFit="1" customWidth="1"/>
    <col min="20" max="20" width="39.7265625" bestFit="1" customWidth="1"/>
    <col min="21" max="21" width="12.81640625" customWidth="1"/>
    <col min="22" max="23" width="11.7265625" bestFit="1" customWidth="1"/>
    <col min="25" max="27" width="10.1796875" bestFit="1" customWidth="1"/>
    <col min="28" max="28" width="10.1796875" customWidth="1"/>
    <col min="29" max="29" width="11.7265625" bestFit="1" customWidth="1"/>
    <col min="30" max="30" width="12.453125" bestFit="1" customWidth="1"/>
    <col min="31" max="31" width="10.1796875" bestFit="1" customWidth="1"/>
    <col min="32" max="33" width="11.7265625" bestFit="1" customWidth="1"/>
    <col min="34" max="34" width="9.1796875" style="48"/>
  </cols>
  <sheetData>
    <row r="1" spans="1:16" x14ac:dyDescent="0.35">
      <c r="A1" t="s">
        <v>88</v>
      </c>
      <c r="B1" t="s">
        <v>193</v>
      </c>
      <c r="C1" t="s">
        <v>9</v>
      </c>
    </row>
    <row r="2" spans="1:16" x14ac:dyDescent="0.35">
      <c r="A2" s="6">
        <v>1</v>
      </c>
      <c r="B2" s="1" t="s">
        <v>194</v>
      </c>
      <c r="C2" s="2" t="str">
        <f>VLOOKUP(A2,'Plano de Contas'!B:E,4,FALSE)</f>
        <v>ATIVO</v>
      </c>
      <c r="M2">
        <v>2020</v>
      </c>
      <c r="N2" t="s">
        <v>55</v>
      </c>
      <c r="O2" t="str">
        <f>M2&amp;N2</f>
        <v>2020Dezembro</v>
      </c>
      <c r="P2" s="12">
        <v>44166</v>
      </c>
    </row>
    <row r="3" spans="1:16" x14ac:dyDescent="0.35">
      <c r="A3" s="6">
        <v>2</v>
      </c>
      <c r="B3" s="1" t="s">
        <v>195</v>
      </c>
      <c r="C3" s="2" t="str">
        <f>VLOOKUP(A3,'Plano de Contas'!B:E,4,FALSE)</f>
        <v>PASSIVO</v>
      </c>
      <c r="M3">
        <v>2021</v>
      </c>
      <c r="N3" t="s">
        <v>44</v>
      </c>
      <c r="O3" t="str">
        <f t="shared" ref="O3:O14" si="0">M3&amp;N3</f>
        <v>2021Janeiro</v>
      </c>
      <c r="P3" s="12">
        <v>44197</v>
      </c>
    </row>
    <row r="4" spans="1:16" x14ac:dyDescent="0.35">
      <c r="A4" s="6">
        <v>3</v>
      </c>
      <c r="B4" s="1" t="s">
        <v>196</v>
      </c>
      <c r="C4" s="2" t="str">
        <f>VLOOKUP(A4,'Plano de Contas'!B:E,4,FALSE)</f>
        <v>RECEITAS OPERACIONAIS</v>
      </c>
      <c r="M4">
        <v>2021</v>
      </c>
      <c r="N4" t="s">
        <v>45</v>
      </c>
      <c r="O4" t="str">
        <f t="shared" si="0"/>
        <v>2021Fevereiro</v>
      </c>
      <c r="P4" s="12">
        <v>44228</v>
      </c>
    </row>
    <row r="5" spans="1:16" x14ac:dyDescent="0.35">
      <c r="A5" s="6">
        <v>4</v>
      </c>
      <c r="B5" s="1" t="s">
        <v>197</v>
      </c>
      <c r="C5" s="2" t="str">
        <f>VLOOKUP(A5,'Plano de Contas'!B:E,4,FALSE)</f>
        <v>CUSTOS E DESPESAS</v>
      </c>
      <c r="M5">
        <v>2021</v>
      </c>
      <c r="N5" t="s">
        <v>46</v>
      </c>
      <c r="O5" t="str">
        <f t="shared" si="0"/>
        <v>2021Março</v>
      </c>
      <c r="P5" s="12">
        <v>44256</v>
      </c>
    </row>
    <row r="6" spans="1:16" x14ac:dyDescent="0.35">
      <c r="A6" s="2" t="s">
        <v>198</v>
      </c>
      <c r="B6" s="1" t="s">
        <v>199</v>
      </c>
      <c r="C6" s="2" t="str">
        <f>VLOOKUP(A6,'Plano de Contas'!B:E,4,FALSE)</f>
        <v>ATIVO CIRCULANTE</v>
      </c>
      <c r="M6">
        <v>2021</v>
      </c>
      <c r="N6" t="s">
        <v>47</v>
      </c>
      <c r="O6" t="str">
        <f t="shared" si="0"/>
        <v>2021Abril</v>
      </c>
      <c r="P6" s="12">
        <v>44287</v>
      </c>
    </row>
    <row r="7" spans="1:16" x14ac:dyDescent="0.35">
      <c r="A7" s="2" t="s">
        <v>200</v>
      </c>
      <c r="B7" s="1" t="s">
        <v>201</v>
      </c>
      <c r="C7" s="2" t="str">
        <f>VLOOKUP(A7,'Plano de Contas'!B:E,4,FALSE)</f>
        <v>ATIVO CIRCULANTE - SAUDE</v>
      </c>
      <c r="M7">
        <v>2021</v>
      </c>
      <c r="N7" t="s">
        <v>48</v>
      </c>
      <c r="O7" t="str">
        <f t="shared" si="0"/>
        <v>2021Maio</v>
      </c>
      <c r="P7" s="12">
        <v>44317</v>
      </c>
    </row>
    <row r="8" spans="1:16" x14ac:dyDescent="0.35">
      <c r="A8" s="2" t="s">
        <v>202</v>
      </c>
      <c r="B8" s="1" t="s">
        <v>203</v>
      </c>
      <c r="C8" s="2" t="str">
        <f>VLOOKUP(A8,'Plano de Contas'!B:E,4,FALSE)</f>
        <v>DISPONIVEL - SAUDE</v>
      </c>
      <c r="M8">
        <v>2021</v>
      </c>
      <c r="N8" t="s">
        <v>49</v>
      </c>
      <c r="O8" t="str">
        <f t="shared" si="0"/>
        <v>2021Junho</v>
      </c>
      <c r="P8" s="12">
        <v>44348</v>
      </c>
    </row>
    <row r="9" spans="1:16" x14ac:dyDescent="0.35">
      <c r="A9" s="2" t="s">
        <v>204</v>
      </c>
      <c r="B9" s="1" t="s">
        <v>205</v>
      </c>
      <c r="C9" s="2" t="str">
        <f>VLOOKUP(A9,'Plano de Contas'!B:E,4,FALSE)</f>
        <v>BANCOS C/MOVIMENTO - SAUDE</v>
      </c>
      <c r="M9">
        <v>2021</v>
      </c>
      <c r="N9" t="s">
        <v>50</v>
      </c>
      <c r="O9" t="str">
        <f t="shared" si="0"/>
        <v>2021Julho</v>
      </c>
      <c r="P9" s="12">
        <v>44378</v>
      </c>
    </row>
    <row r="10" spans="1:16" x14ac:dyDescent="0.35">
      <c r="A10" s="1" t="s">
        <v>204</v>
      </c>
      <c r="B10" s="1" t="s">
        <v>206</v>
      </c>
      <c r="C10" s="2" t="str">
        <f>VLOOKUP(A10,'Plano de Contas'!B:E,4,FALSE)</f>
        <v>BANCOS C/MOVIMENTO - SAUDE</v>
      </c>
      <c r="M10">
        <v>2021</v>
      </c>
      <c r="N10" t="s">
        <v>51</v>
      </c>
      <c r="O10" t="str">
        <f t="shared" si="0"/>
        <v>2021Agosto</v>
      </c>
      <c r="P10" s="12">
        <v>44409</v>
      </c>
    </row>
    <row r="11" spans="1:16" x14ac:dyDescent="0.35">
      <c r="A11" s="2" t="s">
        <v>207</v>
      </c>
      <c r="B11" s="1" t="s">
        <v>208</v>
      </c>
      <c r="C11" s="2" t="str">
        <f>VLOOKUP(A11,'Plano de Contas'!B:E,4,FALSE)</f>
        <v>BANCO DO ESTADO DO ESPIRITO SANTO</v>
      </c>
      <c r="M11">
        <v>2021</v>
      </c>
      <c r="N11" t="s">
        <v>52</v>
      </c>
      <c r="O11" t="str">
        <f t="shared" si="0"/>
        <v>2021Setembro</v>
      </c>
      <c r="P11" s="12">
        <v>44440</v>
      </c>
    </row>
    <row r="12" spans="1:16" x14ac:dyDescent="0.35">
      <c r="A12" s="1" t="s">
        <v>207</v>
      </c>
      <c r="B12" s="1" t="s">
        <v>209</v>
      </c>
      <c r="C12" s="2" t="str">
        <f>VLOOKUP(A12,'Plano de Contas'!B:E,4,FALSE)</f>
        <v>BANCO DO ESTADO DO ESPIRITO SANTO</v>
      </c>
      <c r="M12">
        <v>2021</v>
      </c>
      <c r="N12" t="s">
        <v>53</v>
      </c>
      <c r="O12" t="str">
        <f t="shared" si="0"/>
        <v>2021Outubro</v>
      </c>
      <c r="P12" s="12">
        <v>44470</v>
      </c>
    </row>
    <row r="13" spans="1:16" x14ac:dyDescent="0.35">
      <c r="A13" s="2" t="s">
        <v>210</v>
      </c>
      <c r="B13" s="1" t="s">
        <v>211</v>
      </c>
      <c r="C13" s="2" t="str">
        <f>VLOOKUP(A13,'Plano de Contas'!B:E,4,FALSE)</f>
        <v>CREDITOS - SAUDE</v>
      </c>
      <c r="M13">
        <v>2021</v>
      </c>
      <c r="N13" t="s">
        <v>54</v>
      </c>
      <c r="O13" t="str">
        <f t="shared" si="0"/>
        <v>2021Novembro</v>
      </c>
      <c r="P13" s="12">
        <v>44501</v>
      </c>
    </row>
    <row r="14" spans="1:16" x14ac:dyDescent="0.35">
      <c r="A14" s="2" t="s">
        <v>212</v>
      </c>
      <c r="B14" s="1" t="s">
        <v>213</v>
      </c>
      <c r="C14" s="2" t="str">
        <f>VLOOKUP(A14,'Plano de Contas'!B:E,4,FALSE)</f>
        <v>CREDITOS PAC. SUS</v>
      </c>
      <c r="M14">
        <v>2021</v>
      </c>
      <c r="N14" t="s">
        <v>55</v>
      </c>
      <c r="O14" t="str">
        <f t="shared" si="0"/>
        <v>2021Dezembro</v>
      </c>
      <c r="P14" s="12">
        <v>44531</v>
      </c>
    </row>
    <row r="15" spans="1:16" x14ac:dyDescent="0.35">
      <c r="A15" s="2" t="s">
        <v>214</v>
      </c>
      <c r="B15" s="1" t="s">
        <v>215</v>
      </c>
      <c r="C15" s="2" t="str">
        <f>VLOOKUP(A15,'Plano de Contas'!B:E,4,FALSE)</f>
        <v>PACIENTES DO SUS</v>
      </c>
    </row>
    <row r="16" spans="1:16" x14ac:dyDescent="0.35">
      <c r="A16" s="2" t="s">
        <v>216</v>
      </c>
      <c r="B16" s="1" t="s">
        <v>217</v>
      </c>
      <c r="C16" s="2" t="str">
        <f>VLOOKUP(A16,'Plano de Contas'!B:E,4,FALSE)</f>
        <v>CREDITOS DE FUNCIONARIOS</v>
      </c>
    </row>
    <row r="17" spans="1:41" x14ac:dyDescent="0.35">
      <c r="A17" s="1" t="s">
        <v>216</v>
      </c>
      <c r="B17" s="1" t="s">
        <v>218</v>
      </c>
      <c r="C17" s="2" t="str">
        <f>VLOOKUP(A17,'Plano de Contas'!B:E,4,FALSE)</f>
        <v>CREDITOS DE FUNCIONARIOS</v>
      </c>
    </row>
    <row r="18" spans="1:41" x14ac:dyDescent="0.35">
      <c r="A18" s="2" t="s">
        <v>219</v>
      </c>
      <c r="B18" s="1" t="s">
        <v>220</v>
      </c>
      <c r="C18" s="2" t="str">
        <f>VLOOKUP(A18,'Plano de Contas'!B:E,4,FALSE)</f>
        <v>OUTROS ADIANTAMENTOS A FUNCIONARIOS</v>
      </c>
    </row>
    <row r="19" spans="1:41" x14ac:dyDescent="0.35">
      <c r="A19" s="1" t="s">
        <v>219</v>
      </c>
      <c r="B19" s="1" t="s">
        <v>221</v>
      </c>
      <c r="C19" s="2" t="str">
        <f>VLOOKUP(A19,'Plano de Contas'!B:E,4,FALSE)</f>
        <v>OUTROS ADIANTAMENTOS A FUNCIONARIOS</v>
      </c>
    </row>
    <row r="20" spans="1:41" x14ac:dyDescent="0.35">
      <c r="A20" s="1" t="s">
        <v>222</v>
      </c>
      <c r="B20" s="1" t="s">
        <v>223</v>
      </c>
      <c r="C20" s="2" t="str">
        <f>VLOOKUP(A20,'Plano de Contas'!B:E,4,FALSE)</f>
        <v>OUTROS CREDITOS</v>
      </c>
    </row>
    <row r="21" spans="1:41" x14ac:dyDescent="0.35">
      <c r="A21" s="1" t="s">
        <v>224</v>
      </c>
      <c r="B21" s="1" t="s">
        <v>225</v>
      </c>
      <c r="C21" s="2" t="str">
        <f>VLOOKUP(A21,'Plano de Contas'!B:E,4,FALSE)</f>
        <v>OUTROS CREDITOS A RECEBER</v>
      </c>
      <c r="U21" t="s">
        <v>226</v>
      </c>
      <c r="V21" t="s">
        <v>226</v>
      </c>
      <c r="W21" t="s">
        <v>226</v>
      </c>
      <c r="Y21" t="s">
        <v>227</v>
      </c>
      <c r="Z21" t="s">
        <v>227</v>
      </c>
      <c r="AA21" t="s">
        <v>227</v>
      </c>
    </row>
    <row r="22" spans="1:41" x14ac:dyDescent="0.35">
      <c r="A22" s="2" t="s">
        <v>228</v>
      </c>
      <c r="B22" s="1" t="s">
        <v>229</v>
      </c>
      <c r="C22" s="2" t="str">
        <f>VLOOKUP(A22,'Plano de Contas'!B:E,4,FALSE)</f>
        <v>ESTOQUES - SAUDE</v>
      </c>
      <c r="U22" t="s">
        <v>55</v>
      </c>
      <c r="V22" t="s">
        <v>44</v>
      </c>
      <c r="W22" t="s">
        <v>45</v>
      </c>
      <c r="Y22" t="s">
        <v>55</v>
      </c>
      <c r="Z22" t="s">
        <v>44</v>
      </c>
      <c r="AA22" t="s">
        <v>45</v>
      </c>
      <c r="AD22" t="s">
        <v>55</v>
      </c>
      <c r="AE22" t="s">
        <v>44</v>
      </c>
      <c r="AF22" t="s">
        <v>45</v>
      </c>
      <c r="AG22" t="s">
        <v>46</v>
      </c>
      <c r="AH22" t="s">
        <v>47</v>
      </c>
      <c r="AI22" t="s">
        <v>48</v>
      </c>
      <c r="AJ22" t="s">
        <v>49</v>
      </c>
      <c r="AK22" t="s">
        <v>50</v>
      </c>
      <c r="AL22" t="s">
        <v>51</v>
      </c>
      <c r="AM22" t="s">
        <v>52</v>
      </c>
      <c r="AN22" t="s">
        <v>53</v>
      </c>
      <c r="AO22" t="s">
        <v>54</v>
      </c>
    </row>
    <row r="23" spans="1:41" x14ac:dyDescent="0.35">
      <c r="A23" s="2" t="s">
        <v>230</v>
      </c>
      <c r="B23" s="1" t="s">
        <v>79</v>
      </c>
      <c r="C23" s="2" t="str">
        <f>VLOOKUP(A23,'Plano de Contas'!B:E,4,FALSE)</f>
        <v>MATERIAIS, MEDICAMENTOS E OUTROS</v>
      </c>
      <c r="R23">
        <v>1</v>
      </c>
      <c r="S23" s="14" t="s">
        <v>231</v>
      </c>
      <c r="T23" s="14" t="str">
        <f t="shared" ref="T23:T35" si="1">VLOOKUP(S23,$A:$C,3,FALSE)</f>
        <v>DROGAS E MEDICAMENTOS</v>
      </c>
      <c r="U23" s="4">
        <f>SUMIFS(Balancete!$F:$F,Balancete!$C:$C,Tabela!$S23,Balancete!$B:$B,"Dezembro",Balancete!$A:$A,2020)</f>
        <v>0</v>
      </c>
      <c r="V23" s="4">
        <f>SUMIFS(Balancete!$F:$F,Balancete!$C:$C,Tabela!$S23,Balancete!$B:$B,"Janeiro",Balancete!$A:$A,2021)</f>
        <v>0</v>
      </c>
      <c r="W23" s="4">
        <f>SUMIFS(Balancete!$F:$F,Balancete!$C:$C,Tabela!$S23,Balancete!$B:$B,"Fevereiro",Balancete!$A:$A,2021)</f>
        <v>0</v>
      </c>
      <c r="Y23" s="4">
        <f>SUMIFS(Balancete!$G:$G,Balancete!$C:$C,Tabela!$S23,Balancete!$B:$B,"Dezembro",Balancete!$A:$A,2020)</f>
        <v>0</v>
      </c>
      <c r="Z23" s="4">
        <f>SUMIFS(Balancete!$G:$G,Balancete!$C:$C,Tabela!$S23,Balancete!$B:$B,"Janeiro",Balancete!$A:$A,2021)</f>
        <v>0</v>
      </c>
      <c r="AA23" s="4">
        <f>SUMIFS(Balancete!$G:$G,Balancete!$C:$C,Tabela!$S23,Balancete!$B:$B,"Fevereiro",Balancete!$A:$A,2021)</f>
        <v>0</v>
      </c>
      <c r="AB23" s="4"/>
      <c r="AC23" s="4">
        <f>SUM(AD23:AO23)</f>
        <v>0</v>
      </c>
      <c r="AD23" s="4">
        <f>((U37-Y37)-(Y23))+(U23)+AD35+AD34</f>
        <v>0</v>
      </c>
      <c r="AE23" s="4">
        <f>((V37-Z37)-(Z23))+(V23)+AE35+AE34</f>
        <v>0</v>
      </c>
      <c r="AF23" s="4">
        <f>((W37-AA37)-(AA23))+(W23)+AF35+AF34</f>
        <v>0</v>
      </c>
      <c r="AG23" s="4"/>
    </row>
    <row r="24" spans="1:41" x14ac:dyDescent="0.35">
      <c r="A24" s="1" t="s">
        <v>230</v>
      </c>
      <c r="B24" s="1" t="s">
        <v>232</v>
      </c>
      <c r="C24" s="2" t="str">
        <f>VLOOKUP(A24,'Plano de Contas'!B:E,4,FALSE)</f>
        <v>MATERIAIS, MEDICAMENTOS E OUTROS</v>
      </c>
      <c r="J24" s="4">
        <f>SUM(V23:V35)</f>
        <v>0</v>
      </c>
      <c r="K24" s="4">
        <f>SUM(Z23:Z35)</f>
        <v>0</v>
      </c>
      <c r="L24" s="4">
        <f>SUM(W23:W35)</f>
        <v>0</v>
      </c>
      <c r="M24" s="4">
        <f>SUM(AA23:AA35)</f>
        <v>0</v>
      </c>
      <c r="R24">
        <v>2</v>
      </c>
      <c r="S24" s="14" t="s">
        <v>233</v>
      </c>
      <c r="T24" s="14" t="str">
        <f t="shared" si="1"/>
        <v>MATERIAIS  DE USO DO PACIENTES</v>
      </c>
      <c r="U24" s="4">
        <f>SUMIFS(Balancete!$F:$F,Balancete!$C:$C,Tabela!$S24,Balancete!$B:$B,"Dezembro",Balancete!$A:$A,2020)</f>
        <v>0</v>
      </c>
      <c r="V24" s="4">
        <f>SUMIFS(Balancete!$F:$F,Balancete!$C:$C,Tabela!$S24,Balancete!$B:$B,"Janeiro",Balancete!$A:$A,2021)</f>
        <v>0</v>
      </c>
      <c r="W24" s="4">
        <f>SUMIFS(Balancete!$F:$F,Balancete!$C:$C,Tabela!$S24,Balancete!$B:$B,"Fevereiro",Balancete!$A:$A,2021)</f>
        <v>0</v>
      </c>
      <c r="Y24" s="4">
        <f>SUMIFS(Balancete!$G:$G,Balancete!$C:$C,Tabela!$S24,Balancete!$B:$B,"Dezembro",Balancete!$A:$A,2020)</f>
        <v>0</v>
      </c>
      <c r="Z24" s="4">
        <f>SUMIFS(Balancete!$G:$G,Balancete!$C:$C,Tabela!$S24,Balancete!$B:$B,"Janeiro",Balancete!$A:$A,2021)</f>
        <v>0</v>
      </c>
      <c r="AA24" s="4">
        <f>SUMIFS(Balancete!$G:$G,Balancete!$C:$C,Tabela!$S24,Balancete!$B:$B,"Fevereiro",Balancete!$A:$A,2021)</f>
        <v>0</v>
      </c>
      <c r="AB24" s="4"/>
      <c r="AC24" s="4">
        <f t="shared" ref="AC24:AC35" si="2">SUM(AD24:AO24)</f>
        <v>0</v>
      </c>
      <c r="AD24" s="4">
        <f t="shared" ref="AD24:AD35" si="3">((U38-Y38)-(Y24))+(U24)</f>
        <v>0</v>
      </c>
      <c r="AE24" s="4">
        <f t="shared" ref="AE24:AE35" si="4">((V38-Z38)-(Z24))+(V24)</f>
        <v>0</v>
      </c>
      <c r="AF24" s="4">
        <f t="shared" ref="AF24:AF35" si="5">((W38-AA38)-(AA24))+(W24)</f>
        <v>0</v>
      </c>
      <c r="AG24" s="4"/>
    </row>
    <row r="25" spans="1:41" x14ac:dyDescent="0.35">
      <c r="A25" s="2" t="s">
        <v>231</v>
      </c>
      <c r="B25" s="1" t="s">
        <v>163</v>
      </c>
      <c r="C25" s="2" t="str">
        <f>VLOOKUP(A25,'Plano de Contas'!B:E,4,FALSE)</f>
        <v>DROGAS E MEDICAMENTOS</v>
      </c>
      <c r="J25" s="4">
        <f>SUM(V37:V49)</f>
        <v>0</v>
      </c>
      <c r="K25" s="4">
        <f>SUM(Z37:Z49)</f>
        <v>0</v>
      </c>
      <c r="L25" s="4">
        <f>SUM(W37:W49)</f>
        <v>0</v>
      </c>
      <c r="M25" s="4">
        <f>SUM(AA37:AA49)</f>
        <v>0</v>
      </c>
      <c r="R25">
        <v>3</v>
      </c>
      <c r="S25" s="14" t="s">
        <v>234</v>
      </c>
      <c r="T25" s="14" t="str">
        <f t="shared" si="1"/>
        <v>GENEROS ALIMENTICIOS</v>
      </c>
      <c r="U25" s="4">
        <f>SUMIFS(Balancete!$F:$F,Balancete!$C:$C,Tabela!$S25,Balancete!$B:$B,"Dezembro",Balancete!$A:$A,2020)</f>
        <v>0</v>
      </c>
      <c r="V25" s="4">
        <f>SUMIFS(Balancete!$F:$F,Balancete!$C:$C,Tabela!$S25,Balancete!$B:$B,"Janeiro",Balancete!$A:$A,2021)</f>
        <v>0</v>
      </c>
      <c r="W25" s="4">
        <f>SUMIFS(Balancete!$F:$F,Balancete!$C:$C,Tabela!$S25,Balancete!$B:$B,"Fevereiro",Balancete!$A:$A,2021)</f>
        <v>0</v>
      </c>
      <c r="Y25" s="4">
        <f>SUMIFS(Balancete!$G:$G,Balancete!$C:$C,Tabela!$S25,Balancete!$B:$B,"Dezembro",Balancete!$A:$A,2020)</f>
        <v>0</v>
      </c>
      <c r="Z25" s="4">
        <f>SUMIFS(Balancete!$G:$G,Balancete!$C:$C,Tabela!$S25,Balancete!$B:$B,"Janeiro",Balancete!$A:$A,2021)</f>
        <v>0</v>
      </c>
      <c r="AA25" s="4">
        <f>SUMIFS(Balancete!$G:$G,Balancete!$C:$C,Tabela!$S25,Balancete!$B:$B,"Fevereiro",Balancete!$A:$A,2021)</f>
        <v>0</v>
      </c>
      <c r="AB25" s="4"/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5"/>
        <v>0</v>
      </c>
      <c r="AG25" s="4"/>
    </row>
    <row r="26" spans="1:41" x14ac:dyDescent="0.35">
      <c r="A26" s="2" t="s">
        <v>233</v>
      </c>
      <c r="B26" s="1" t="s">
        <v>165</v>
      </c>
      <c r="C26" s="2" t="str">
        <f>VLOOKUP(A26,'Plano de Contas'!B:E,4,FALSE)</f>
        <v>MATERIAIS  DE USO DO PACIENTES</v>
      </c>
      <c r="O26" s="4"/>
      <c r="R26">
        <v>4</v>
      </c>
      <c r="S26" s="14" t="s">
        <v>235</v>
      </c>
      <c r="T26" s="14" t="str">
        <f t="shared" si="1"/>
        <v>PRODUTOS DE LIMPEZA/DESCARTAVEL</v>
      </c>
      <c r="U26" s="4">
        <f>SUMIFS(Balancete!$F:$F,Balancete!$C:$C,Tabela!$S26,Balancete!$B:$B,"Dezembro",Balancete!$A:$A,2020)</f>
        <v>0</v>
      </c>
      <c r="V26" s="4">
        <f>SUMIFS(Balancete!$F:$F,Balancete!$C:$C,Tabela!$S26,Balancete!$B:$B,"Janeiro",Balancete!$A:$A,2021)</f>
        <v>0</v>
      </c>
      <c r="W26" s="4">
        <f>SUMIFS(Balancete!$F:$F,Balancete!$C:$C,Tabela!$S26,Balancete!$B:$B,"Fevereiro",Balancete!$A:$A,2021)</f>
        <v>0</v>
      </c>
      <c r="Y26" s="4">
        <f>SUMIFS(Balancete!$G:$G,Balancete!$C:$C,Tabela!$S26,Balancete!$B:$B,"Dezembro",Balancete!$A:$A,2020)</f>
        <v>0</v>
      </c>
      <c r="Z26" s="4">
        <f>SUMIFS(Balancete!$G:$G,Balancete!$C:$C,Tabela!$S26,Balancete!$B:$B,"Janeiro",Balancete!$A:$A,2021)</f>
        <v>0</v>
      </c>
      <c r="AA26" s="4">
        <f>SUMIFS(Balancete!$G:$G,Balancete!$C:$C,Tabela!$S26,Balancete!$B:$B,"Fevereiro",Balancete!$A:$A,2021)</f>
        <v>0</v>
      </c>
      <c r="AB26" s="4"/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4"/>
    </row>
    <row r="27" spans="1:41" x14ac:dyDescent="0.35">
      <c r="A27" s="1" t="s">
        <v>233</v>
      </c>
      <c r="B27" s="1" t="s">
        <v>236</v>
      </c>
      <c r="C27" s="2" t="str">
        <f>VLOOKUP(A27,'Plano de Contas'!B:E,4,FALSE)</f>
        <v>MATERIAIS  DE USO DO PACIENTES</v>
      </c>
      <c r="J27" s="4">
        <f>J25-K25</f>
        <v>0</v>
      </c>
      <c r="L27" s="4">
        <f>L25-M25</f>
        <v>0</v>
      </c>
      <c r="O27" s="4"/>
      <c r="R27">
        <v>5</v>
      </c>
      <c r="S27" s="14" t="s">
        <v>237</v>
      </c>
      <c r="T27" s="14" t="str">
        <f t="shared" si="1"/>
        <v>MATERIAIS DE MANUTENCAO</v>
      </c>
      <c r="U27" s="4">
        <f>SUMIFS(Balancete!$F:$F,Balancete!$C:$C,Tabela!$S27,Balancete!$B:$B,"Dezembro",Balancete!$A:$A,2020)</f>
        <v>0</v>
      </c>
      <c r="V27" s="4">
        <f>SUMIFS(Balancete!$F:$F,Balancete!$C:$C,Tabela!$S27,Balancete!$B:$B,"Janeiro",Balancete!$A:$A,2021)</f>
        <v>0</v>
      </c>
      <c r="W27" s="4">
        <f>SUMIFS(Balancete!$F:$F,Balancete!$C:$C,Tabela!$S27,Balancete!$B:$B,"Fevereiro",Balancete!$A:$A,2021)</f>
        <v>0</v>
      </c>
      <c r="Y27" s="4">
        <f>SUMIFS(Balancete!$G:$G,Balancete!$C:$C,Tabela!$S27,Balancete!$B:$B,"Dezembro",Balancete!$A:$A,2020)</f>
        <v>0</v>
      </c>
      <c r="Z27" s="4">
        <f>SUMIFS(Balancete!$G:$G,Balancete!$C:$C,Tabela!$S27,Balancete!$B:$B,"Janeiro",Balancete!$A:$A,2021)</f>
        <v>0</v>
      </c>
      <c r="AA27" s="4">
        <f>SUMIFS(Balancete!$G:$G,Balancete!$C:$C,Tabela!$S27,Balancete!$B:$B,"Fevereiro",Balancete!$A:$A,2021)</f>
        <v>0</v>
      </c>
      <c r="AB27" s="4"/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5"/>
        <v>0</v>
      </c>
      <c r="AG27" s="4"/>
    </row>
    <row r="28" spans="1:41" x14ac:dyDescent="0.35">
      <c r="A28" s="2" t="s">
        <v>234</v>
      </c>
      <c r="B28" s="1" t="s">
        <v>24</v>
      </c>
      <c r="C28" s="2" t="str">
        <f>VLOOKUP(A28,'Plano de Contas'!B:E,4,FALSE)</f>
        <v>GENEROS ALIMENTICIOS</v>
      </c>
      <c r="J28" s="4">
        <f>J27-K24</f>
        <v>0</v>
      </c>
      <c r="L28" s="4">
        <f>L27-M24</f>
        <v>0</v>
      </c>
      <c r="O28" s="4"/>
      <c r="R28">
        <v>6</v>
      </c>
      <c r="S28" s="14" t="s">
        <v>238</v>
      </c>
      <c r="T28" s="14" t="str">
        <f t="shared" si="1"/>
        <v>IMPRESSOS E MAT. EXPEDIENTE</v>
      </c>
      <c r="U28" s="4">
        <f>SUMIFS(Balancete!$F:$F,Balancete!$C:$C,Tabela!$S28,Balancete!$B:$B,"Dezembro",Balancete!$A:$A,2020)</f>
        <v>0</v>
      </c>
      <c r="V28" s="4">
        <f>SUMIFS(Balancete!$F:$F,Balancete!$C:$C,Tabela!$S28,Balancete!$B:$B,"Janeiro",Balancete!$A:$A,2021)</f>
        <v>0</v>
      </c>
      <c r="W28" s="4">
        <f>SUMIFS(Balancete!$F:$F,Balancete!$C:$C,Tabela!$S28,Balancete!$B:$B,"Fevereiro",Balancete!$A:$A,2021)</f>
        <v>0</v>
      </c>
      <c r="Y28" s="4">
        <f>SUMIFS(Balancete!$G:$G,Balancete!$C:$C,Tabela!$S28,Balancete!$B:$B,"Dezembro",Balancete!$A:$A,2020)</f>
        <v>0</v>
      </c>
      <c r="Z28" s="4">
        <f>SUMIFS(Balancete!$G:$G,Balancete!$C:$C,Tabela!$S28,Balancete!$B:$B,"Janeiro",Balancete!$A:$A,2021)</f>
        <v>0</v>
      </c>
      <c r="AA28" s="4">
        <f>SUMIFS(Balancete!$G:$G,Balancete!$C:$C,Tabela!$S28,Balancete!$B:$B,"Fevereiro",Balancete!$A:$A,2021)</f>
        <v>0</v>
      </c>
      <c r="AB28" s="4"/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4"/>
    </row>
    <row r="29" spans="1:41" x14ac:dyDescent="0.35">
      <c r="A29" s="2" t="s">
        <v>235</v>
      </c>
      <c r="B29" s="1" t="s">
        <v>25</v>
      </c>
      <c r="C29" s="2" t="str">
        <f>VLOOKUP(A29,'Plano de Contas'!B:E,4,FALSE)</f>
        <v>PRODUTOS DE LIMPEZA/DESCARTAVEL</v>
      </c>
      <c r="J29" s="4"/>
      <c r="L29" s="4"/>
      <c r="O29" s="4"/>
      <c r="R29">
        <v>7</v>
      </c>
      <c r="S29" s="14" t="s">
        <v>239</v>
      </c>
      <c r="T29" s="14" t="str">
        <f t="shared" si="1"/>
        <v>ROUPARIA</v>
      </c>
      <c r="U29" s="4">
        <f>SUMIFS(Balancete!$F:$F,Balancete!$C:$C,Tabela!$S29,Balancete!$B:$B,"Dezembro",Balancete!$A:$A,2020)</f>
        <v>0</v>
      </c>
      <c r="V29" s="4">
        <f>SUMIFS(Balancete!$F:$F,Balancete!$C:$C,Tabela!$S29,Balancete!$B:$B,"Janeiro",Balancete!$A:$A,2021)</f>
        <v>0</v>
      </c>
      <c r="W29" s="4">
        <f>SUMIFS(Balancete!$F:$F,Balancete!$C:$C,Tabela!$S29,Balancete!$B:$B,"Fevereiro",Balancete!$A:$A,2021)</f>
        <v>0</v>
      </c>
      <c r="Y29" s="4">
        <f>SUMIFS(Balancete!$G:$G,Balancete!$C:$C,Tabela!$S29,Balancete!$B:$B,"Dezembro",Balancete!$A:$A,2020)</f>
        <v>0</v>
      </c>
      <c r="Z29" s="4">
        <f>SUMIFS(Balancete!$G:$G,Balancete!$C:$C,Tabela!$S29,Balancete!$B:$B,"Janeiro",Balancete!$A:$A,2021)</f>
        <v>0</v>
      </c>
      <c r="AA29" s="4">
        <f>SUMIFS(Balancete!$G:$G,Balancete!$C:$C,Tabela!$S29,Balancete!$B:$B,"Fevereiro",Balancete!$A:$A,2021)</f>
        <v>0</v>
      </c>
      <c r="AB29" s="4"/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4"/>
    </row>
    <row r="30" spans="1:41" x14ac:dyDescent="0.35">
      <c r="A30" s="1" t="s">
        <v>235</v>
      </c>
      <c r="B30" s="1" t="s">
        <v>240</v>
      </c>
      <c r="C30" s="2" t="str">
        <f>VLOOKUP(A30,'Plano de Contas'!B:E,4,FALSE)</f>
        <v>PRODUTOS DE LIMPEZA/DESCARTAVEL</v>
      </c>
      <c r="O30" s="4"/>
      <c r="R30">
        <v>8</v>
      </c>
      <c r="S30" s="14" t="s">
        <v>241</v>
      </c>
      <c r="T30" s="14" t="str">
        <f t="shared" si="1"/>
        <v>CENTRO DE MATERIAL ESTERILIZADO</v>
      </c>
      <c r="U30" s="4">
        <f>SUMIFS(Balancete!$F:$F,Balancete!$C:$C,Tabela!$S30,Balancete!$B:$B,"Dezembro",Balancete!$A:$A,2020)</f>
        <v>0</v>
      </c>
      <c r="V30" s="4">
        <f>SUMIFS(Balancete!$F:$F,Balancete!$C:$C,Tabela!$S30,Balancete!$B:$B,"Janeiro",Balancete!$A:$A,2021)</f>
        <v>0</v>
      </c>
      <c r="W30" s="4">
        <f>SUMIFS(Balancete!$F:$F,Balancete!$C:$C,Tabela!$S30,Balancete!$B:$B,"Fevereiro",Balancete!$A:$A,2021)</f>
        <v>0</v>
      </c>
      <c r="Y30" s="4">
        <f>SUMIFS(Balancete!$G:$G,Balancete!$C:$C,Tabela!$S30,Balancete!$B:$B,"Dezembro",Balancete!$A:$A,2020)</f>
        <v>0</v>
      </c>
      <c r="Z30" s="4">
        <f>SUMIFS(Balancete!$G:$G,Balancete!$C:$C,Tabela!$S30,Balancete!$B:$B,"Janeiro",Balancete!$A:$A,2021)</f>
        <v>0</v>
      </c>
      <c r="AA30" s="4">
        <f>SUMIFS(Balancete!$G:$G,Balancete!$C:$C,Tabela!$S30,Balancete!$B:$B,"Fevereiro",Balancete!$A:$A,2021)</f>
        <v>0</v>
      </c>
      <c r="AB30" s="4"/>
      <c r="AC30" s="4">
        <f t="shared" si="2"/>
        <v>0</v>
      </c>
      <c r="AD30" s="4">
        <f t="shared" si="3"/>
        <v>0</v>
      </c>
      <c r="AE30" s="4">
        <f t="shared" si="4"/>
        <v>0</v>
      </c>
      <c r="AF30" s="4">
        <f t="shared" si="5"/>
        <v>0</v>
      </c>
      <c r="AG30" s="4"/>
    </row>
    <row r="31" spans="1:41" x14ac:dyDescent="0.35">
      <c r="A31" s="2" t="s">
        <v>237</v>
      </c>
      <c r="B31" s="1" t="s">
        <v>26</v>
      </c>
      <c r="C31" s="2" t="str">
        <f>VLOOKUP(A31,'Plano de Contas'!B:E,4,FALSE)</f>
        <v>MATERIAIS DE MANUTENCAO</v>
      </c>
      <c r="O31" s="4"/>
      <c r="R31">
        <v>9</v>
      </c>
      <c r="S31" s="15" t="s">
        <v>242</v>
      </c>
      <c r="T31" s="14" t="str">
        <f t="shared" si="1"/>
        <v>OPME - ORTESES, PROTESES E MATERIAIS ESPECIAIS</v>
      </c>
      <c r="U31" s="4">
        <f>SUMIFS(Balancete!$F:$F,Balancete!$C:$C,Tabela!$S31,Balancete!$B:$B,"Dezembro",Balancete!$A:$A,2020)</f>
        <v>0</v>
      </c>
      <c r="V31" s="4">
        <f>SUMIFS(Balancete!$F:$F,Balancete!$C:$C,Tabela!$S31,Balancete!$B:$B,"Janeiro",Balancete!$A:$A,2021)</f>
        <v>0</v>
      </c>
      <c r="W31" s="4">
        <f>SUMIFS(Balancete!$F:$F,Balancete!$C:$C,Tabela!$S31,Balancete!$B:$B,"Fevereiro",Balancete!$A:$A,2021)</f>
        <v>0</v>
      </c>
      <c r="Y31" s="4">
        <f>SUMIFS(Balancete!$G:$G,Balancete!$C:$C,Tabela!$S31,Balancete!$B:$B,"Dezembro",Balancete!$A:$A,2020)</f>
        <v>0</v>
      </c>
      <c r="Z31" s="4">
        <f>SUMIFS(Balancete!$G:$G,Balancete!$C:$C,Tabela!$S31,Balancete!$B:$B,"Janeiro",Balancete!$A:$A,2021)</f>
        <v>0</v>
      </c>
      <c r="AA31" s="4">
        <f>SUMIFS(Balancete!$G:$G,Balancete!$C:$C,Tabela!$S31,Balancete!$B:$B,"Fevereiro",Balancete!$A:$A,2021)</f>
        <v>0</v>
      </c>
      <c r="AB31" s="4"/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4"/>
    </row>
    <row r="32" spans="1:41" x14ac:dyDescent="0.35">
      <c r="A32" s="2" t="s">
        <v>238</v>
      </c>
      <c r="B32" s="1" t="s">
        <v>27</v>
      </c>
      <c r="C32" s="2" t="str">
        <f>VLOOKUP(A32,'Plano de Contas'!B:E,4,FALSE)</f>
        <v>IMPRESSOS E MAT. EXPEDIENTE</v>
      </c>
      <c r="L32" s="4">
        <f>J29+L29</f>
        <v>0</v>
      </c>
      <c r="R32">
        <v>10</v>
      </c>
      <c r="S32" s="14" t="s">
        <v>243</v>
      </c>
      <c r="T32" s="14" t="str">
        <f t="shared" si="1"/>
        <v>EQUIPAMENTOS DE PROTECAO</v>
      </c>
      <c r="U32" s="4">
        <f>SUMIFS(Balancete!$F:$F,Balancete!$C:$C,Tabela!$S32,Balancete!$B:$B,"Dezembro",Balancete!$A:$A,2020)</f>
        <v>0</v>
      </c>
      <c r="V32" s="4">
        <f>SUMIFS(Balancete!$F:$F,Balancete!$C:$C,Tabela!$S32,Balancete!$B:$B,"Janeiro",Balancete!$A:$A,2021)</f>
        <v>0</v>
      </c>
      <c r="W32" s="4">
        <f>SUMIFS(Balancete!$F:$F,Balancete!$C:$C,Tabela!$S32,Balancete!$B:$B,"Fevereiro",Balancete!$A:$A,2021)</f>
        <v>0</v>
      </c>
      <c r="Y32" s="4">
        <f>SUMIFS(Balancete!$G:$G,Balancete!$C:$C,Tabela!$S32,Balancete!$B:$B,"Dezembro",Balancete!$A:$A,2020)</f>
        <v>0</v>
      </c>
      <c r="Z32" s="4">
        <f>SUMIFS(Balancete!$G:$G,Balancete!$C:$C,Tabela!$S32,Balancete!$B:$B,"Janeiro",Balancete!$A:$A,2021)</f>
        <v>0</v>
      </c>
      <c r="AA32" s="4">
        <f>SUMIFS(Balancete!$G:$G,Balancete!$C:$C,Tabela!$S32,Balancete!$B:$B,"Fevereiro",Balancete!$A:$A,2021)</f>
        <v>0</v>
      </c>
      <c r="AB32" s="4"/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5"/>
        <v>0</v>
      </c>
      <c r="AG32" s="4"/>
    </row>
    <row r="33" spans="1:33" x14ac:dyDescent="0.35">
      <c r="A33" s="1" t="s">
        <v>238</v>
      </c>
      <c r="B33" s="1" t="s">
        <v>244</v>
      </c>
      <c r="C33" s="2" t="str">
        <f>VLOOKUP(A33,'Plano de Contas'!B:E,4,FALSE)</f>
        <v>IMPRESSOS E MAT. EXPEDIENTE</v>
      </c>
      <c r="R33">
        <v>11</v>
      </c>
      <c r="S33" s="14" t="s">
        <v>245</v>
      </c>
      <c r="T33" s="14" t="str">
        <f t="shared" si="1"/>
        <v>GASES MEDICINAIS</v>
      </c>
      <c r="U33" s="4">
        <f>SUMIFS(Balancete!$F:$F,Balancete!$C:$C,Tabela!$S33,Balancete!$B:$B,"Dezembro",Balancete!$A:$A,2020)</f>
        <v>0</v>
      </c>
      <c r="V33" s="4">
        <f>SUMIFS(Balancete!$F:$F,Balancete!$C:$C,Tabela!$S33,Balancete!$B:$B,"Janeiro",Balancete!$A:$A,2021)</f>
        <v>0</v>
      </c>
      <c r="W33" s="4">
        <f>SUMIFS(Balancete!$F:$F,Balancete!$C:$C,Tabela!$S33,Balancete!$B:$B,"Fevereiro",Balancete!$A:$A,2021)</f>
        <v>0</v>
      </c>
      <c r="Y33" s="4">
        <f>SUMIFS(Balancete!$G:$G,Balancete!$C:$C,Tabela!$S33,Balancete!$B:$B,"Dezembro",Balancete!$A:$A,2020)</f>
        <v>0</v>
      </c>
      <c r="Z33" s="4">
        <f>SUMIFS(Balancete!$G:$G,Balancete!$C:$C,Tabela!$S33,Balancete!$B:$B,"Janeiro",Balancete!$A:$A,2021)</f>
        <v>0</v>
      </c>
      <c r="AA33" s="4">
        <f>SUMIFS(Balancete!$G:$G,Balancete!$C:$C,Tabela!$S33,Balancete!$B:$B,"Fevereiro",Balancete!$A:$A,2021)</f>
        <v>0</v>
      </c>
      <c r="AB33" s="4"/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5"/>
        <v>0</v>
      </c>
      <c r="AG33" s="4"/>
    </row>
    <row r="34" spans="1:33" x14ac:dyDescent="0.35">
      <c r="A34" s="2" t="s">
        <v>239</v>
      </c>
      <c r="B34" s="1" t="s">
        <v>167</v>
      </c>
      <c r="C34" s="2" t="str">
        <f>VLOOKUP(A34,'Plano de Contas'!B:E,4,FALSE)</f>
        <v>ROUPARIA</v>
      </c>
      <c r="R34">
        <v>12</v>
      </c>
      <c r="S34" s="14" t="s">
        <v>246</v>
      </c>
      <c r="T34" s="14" t="str">
        <f t="shared" si="1"/>
        <v>EMPRESTIMOS DE INSUMOS - CONCEDIDOS</v>
      </c>
      <c r="U34" s="4">
        <f>SUMIFS(Balancete!$F:$F,Balancete!$C:$C,Tabela!$S34,Balancete!$B:$B,"Dezembro",Balancete!$A:$A,2020)</f>
        <v>0</v>
      </c>
      <c r="V34" s="4">
        <f>SUMIFS(Balancete!$F:$F,Balancete!$C:$C,Tabela!$S34,Balancete!$B:$B,"Janeiro",Balancete!$A:$A,2021)</f>
        <v>0</v>
      </c>
      <c r="W34" s="4">
        <f>SUMIFS(Balancete!$F:$F,Balancete!$C:$C,Tabela!$S34,Balancete!$B:$B,"Fevereiro",Balancete!$A:$A,2021)</f>
        <v>0</v>
      </c>
      <c r="Y34" s="4">
        <f>SUMIFS(Balancete!$G:$G,Balancete!$C:$C,Tabela!$S34,Balancete!$B:$B,"Dezembro",Balancete!$A:$A,2020)</f>
        <v>0</v>
      </c>
      <c r="Z34" s="4">
        <f>SUMIFS(Balancete!$G:$G,Balancete!$C:$C,Tabela!$S34,Balancete!$B:$B,"Janeiro",Balancete!$A:$A,2021)</f>
        <v>0</v>
      </c>
      <c r="AA34" s="4">
        <f>SUMIFS(Balancete!$G:$G,Balancete!$C:$C,Tabela!$S34,Balancete!$B:$B,"Fevereiro",Balancete!$A:$A,2021)</f>
        <v>0</v>
      </c>
      <c r="AB34" s="4"/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4"/>
    </row>
    <row r="35" spans="1:33" x14ac:dyDescent="0.35">
      <c r="A35" s="2" t="s">
        <v>241</v>
      </c>
      <c r="B35" s="1" t="s">
        <v>162</v>
      </c>
      <c r="C35" s="2" t="str">
        <f>VLOOKUP(A35,'Plano de Contas'!B:E,4,FALSE)</f>
        <v>CENTRO DE MATERIAL ESTERILIZADO</v>
      </c>
      <c r="R35">
        <v>13</v>
      </c>
      <c r="S35" s="14" t="s">
        <v>247</v>
      </c>
      <c r="T35" s="14" t="str">
        <f t="shared" si="1"/>
        <v>( - )EMPRESTIMOS DE INSUMOS - RECEBIDOS</v>
      </c>
      <c r="U35" s="4">
        <f>SUMIFS(Balancete!$F:$F,Balancete!$C:$C,Tabela!$S35,Balancete!$B:$B,"Dezembro",Balancete!$A:$A,2020)</f>
        <v>0</v>
      </c>
      <c r="V35" s="4">
        <f>SUMIFS(Balancete!$F:$F,Balancete!$C:$C,Tabela!$S35,Balancete!$B:$B,"Janeiro",Balancete!$A:$A,2021)</f>
        <v>0</v>
      </c>
      <c r="W35" s="4">
        <f>SUMIFS(Balancete!$F:$F,Balancete!$C:$C,Tabela!$S35,Balancete!$B:$B,"Fevereiro",Balancete!$A:$A,2021)</f>
        <v>0</v>
      </c>
      <c r="Y35" s="4">
        <f>SUMIFS(Balancete!$G:$G,Balancete!$C:$C,Tabela!$S35,Balancete!$B:$B,"Dezembro",Balancete!$A:$A,2020)</f>
        <v>0</v>
      </c>
      <c r="Z35" s="4">
        <f>SUMIFS(Balancete!$G:$G,Balancete!$C:$C,Tabela!$S35,Balancete!$B:$B,"Janeiro",Balancete!$A:$A,2021)</f>
        <v>0</v>
      </c>
      <c r="AA35" s="4">
        <f>SUMIFS(Balancete!$G:$G,Balancete!$C:$C,Tabela!$S35,Balancete!$B:$B,"Fevereiro",Balancete!$A:$A,2021)</f>
        <v>0</v>
      </c>
      <c r="AB35" s="4"/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  <c r="AG35" s="4"/>
    </row>
    <row r="36" spans="1:33" x14ac:dyDescent="0.35">
      <c r="A36" s="1" t="s">
        <v>241</v>
      </c>
      <c r="B36" s="1" t="s">
        <v>248</v>
      </c>
      <c r="C36" s="2" t="str">
        <f>VLOOKUP(A36,'Plano de Contas'!B:E,4,FALSE)</f>
        <v>CENTRO DE MATERIAL ESTERILIZADO</v>
      </c>
    </row>
    <row r="37" spans="1:33" x14ac:dyDescent="0.35">
      <c r="A37" s="3" t="s">
        <v>242</v>
      </c>
      <c r="B37" s="1" t="s">
        <v>166</v>
      </c>
      <c r="C37" s="2" t="str">
        <f>VLOOKUP(A37,'Plano de Contas'!B:E,4,FALSE)</f>
        <v>OPME - ORTESES, PROTESES E MATERIAIS ESPECIAIS</v>
      </c>
      <c r="R37">
        <v>1</v>
      </c>
      <c r="S37" s="14" t="s">
        <v>249</v>
      </c>
      <c r="T37" s="14" t="str">
        <f t="shared" ref="T37:T49" si="6">VLOOKUP(S37,$A:$C,3,FALSE)</f>
        <v>DROGAS E MEDICAMENTOS</v>
      </c>
      <c r="U37" s="4">
        <f>SUMIFS(Balancete!$F:$F,Balancete!$C:$C,Tabela!$S37,Balancete!$B:$B,"Dezembro",Balancete!$A:$A,2020)</f>
        <v>0</v>
      </c>
      <c r="V37" s="4">
        <f>SUMIFS(Balancete!$F:$F,Balancete!$C:$C,Tabela!$S37,Balancete!$B:$B,"Janeiro",Balancete!$A:$A,2021)</f>
        <v>0</v>
      </c>
      <c r="W37" s="4">
        <f>SUMIFS(Balancete!$F:$F,Balancete!$C:$C,Tabela!$S37,Balancete!$B:$B,"Fevereiro",Balancete!$A:$A,2021)</f>
        <v>0</v>
      </c>
      <c r="Y37" s="4">
        <f>SUMIFS(Balancete!$G:$G,Balancete!$C:$C,Tabela!$S37,Balancete!$B:$B,"Dezembro",Balancete!$A:$A,2020)</f>
        <v>0</v>
      </c>
      <c r="Z37" s="4">
        <f>SUMIFS(Balancete!$G:$G,Balancete!$C:$C,Tabela!$S37,Balancete!$B:$B,"Janeiro",Balancete!$A:$A,2021)</f>
        <v>0</v>
      </c>
      <c r="AA37" s="4">
        <f>SUMIFS(Balancete!$G:$G,Balancete!$C:$C,Tabela!$S37,Balancete!$B:$B,"Fevereiro",Balancete!$A:$A,2021)</f>
        <v>0</v>
      </c>
      <c r="AB37" s="4"/>
      <c r="AD37" s="4"/>
      <c r="AE37" s="4"/>
      <c r="AF37" s="4"/>
      <c r="AG37" s="4"/>
    </row>
    <row r="38" spans="1:33" x14ac:dyDescent="0.35">
      <c r="A38" s="1" t="s">
        <v>242</v>
      </c>
      <c r="B38" s="1" t="s">
        <v>250</v>
      </c>
      <c r="C38" s="2" t="str">
        <f>VLOOKUP(A38,'Plano de Contas'!B:E,4,FALSE)</f>
        <v>OPME - ORTESES, PROTESES E MATERIAIS ESPECIAIS</v>
      </c>
      <c r="R38">
        <v>2</v>
      </c>
      <c r="S38" s="14" t="s">
        <v>251</v>
      </c>
      <c r="T38" s="14" t="str">
        <f t="shared" si="6"/>
        <v>MAT. DE USO DO PACIENTE</v>
      </c>
      <c r="U38" s="4">
        <f>SUMIFS(Balancete!$F:$F,Balancete!$C:$C,Tabela!$S38,Balancete!$B:$B,"Dezembro",Balancete!$A:$A,2020)</f>
        <v>0</v>
      </c>
      <c r="V38" s="4">
        <f>SUMIFS(Balancete!$F:$F,Balancete!$C:$C,Tabela!$S38,Balancete!$B:$B,"Janeiro",Balancete!$A:$A,2021)</f>
        <v>0</v>
      </c>
      <c r="W38" s="4">
        <f>SUMIFS(Balancete!$F:$F,Balancete!$C:$C,Tabela!$S38,Balancete!$B:$B,"Fevereiro",Balancete!$A:$A,2021)</f>
        <v>0</v>
      </c>
      <c r="Y38" s="4">
        <f>SUMIFS(Balancete!$G:$G,Balancete!$C:$C,Tabela!$S38,Balancete!$B:$B,"Dezembro",Balancete!$A:$A,2020)</f>
        <v>0</v>
      </c>
      <c r="Z38" s="4">
        <f>SUMIFS(Balancete!$G:$G,Balancete!$C:$C,Tabela!$S38,Balancete!$B:$B,"Janeiro",Balancete!$A:$A,2021)</f>
        <v>0</v>
      </c>
      <c r="AA38" s="4">
        <f>SUMIFS(Balancete!$G:$G,Balancete!$C:$C,Tabela!$S38,Balancete!$B:$B,"Fevereiro",Balancete!$A:$A,2021)</f>
        <v>0</v>
      </c>
      <c r="AB38" s="4"/>
    </row>
    <row r="39" spans="1:33" x14ac:dyDescent="0.35">
      <c r="A39" s="2" t="s">
        <v>243</v>
      </c>
      <c r="B39" s="1" t="s">
        <v>80</v>
      </c>
      <c r="C39" s="2" t="str">
        <f>VLOOKUP(A39,'Plano de Contas'!B:E,4,FALSE)</f>
        <v>EQUIPAMENTOS DE PROTECAO</v>
      </c>
      <c r="R39">
        <v>3</v>
      </c>
      <c r="S39" s="14" t="s">
        <v>252</v>
      </c>
      <c r="T39" s="14" t="str">
        <f t="shared" si="6"/>
        <v>GENEROS ALIMENTICIOS</v>
      </c>
      <c r="U39" s="4">
        <f>SUMIFS(Balancete!$F:$F,Balancete!$C:$C,Tabela!$S39,Balancete!$B:$B,"Dezembro",Balancete!$A:$A,2020)</f>
        <v>0</v>
      </c>
      <c r="V39" s="4">
        <f>SUMIFS(Balancete!$F:$F,Balancete!$C:$C,Tabela!$S39,Balancete!$B:$B,"Janeiro",Balancete!$A:$A,2021)</f>
        <v>0</v>
      </c>
      <c r="W39" s="4">
        <f>SUMIFS(Balancete!$F:$F,Balancete!$C:$C,Tabela!$S39,Balancete!$B:$B,"Fevereiro",Balancete!$A:$A,2021)</f>
        <v>0</v>
      </c>
      <c r="Y39" s="4">
        <f>SUMIFS(Balancete!$G:$G,Balancete!$C:$C,Tabela!$S39,Balancete!$B:$B,"Dezembro",Balancete!$A:$A,2020)</f>
        <v>0</v>
      </c>
      <c r="Z39" s="4">
        <f>SUMIFS(Balancete!$G:$G,Balancete!$C:$C,Tabela!$S39,Balancete!$B:$B,"Janeiro",Balancete!$A:$A,2021)</f>
        <v>0</v>
      </c>
      <c r="AA39" s="4">
        <f>SUMIFS(Balancete!$G:$G,Balancete!$C:$C,Tabela!$S39,Balancete!$B:$B,"Fevereiro",Balancete!$A:$A,2021)</f>
        <v>0</v>
      </c>
      <c r="AB39" s="4"/>
      <c r="AG39" s="4"/>
    </row>
    <row r="40" spans="1:33" x14ac:dyDescent="0.35">
      <c r="A40" s="1" t="s">
        <v>243</v>
      </c>
      <c r="B40" s="1" t="s">
        <v>253</v>
      </c>
      <c r="C40" s="2" t="str">
        <f>VLOOKUP(A40,'Plano de Contas'!B:E,4,FALSE)</f>
        <v>EQUIPAMENTOS DE PROTECAO</v>
      </c>
      <c r="R40">
        <v>4</v>
      </c>
      <c r="S40" s="14" t="s">
        <v>254</v>
      </c>
      <c r="T40" s="14" t="str">
        <f t="shared" si="6"/>
        <v>MATERIAIS DE LIMPEZA / DESCARTAVEIS</v>
      </c>
      <c r="U40" s="4">
        <f>SUMIFS(Balancete!$F:$F,Balancete!$C:$C,Tabela!$S40,Balancete!$B:$B,"Dezembro",Balancete!$A:$A,2020)</f>
        <v>0</v>
      </c>
      <c r="V40" s="4">
        <f>SUMIFS(Balancete!$F:$F,Balancete!$C:$C,Tabela!$S40,Balancete!$B:$B,"Janeiro",Balancete!$A:$A,2021)</f>
        <v>0</v>
      </c>
      <c r="W40" s="4">
        <f>SUMIFS(Balancete!$F:$F,Balancete!$C:$C,Tabela!$S40,Balancete!$B:$B,"Fevereiro",Balancete!$A:$A,2021)</f>
        <v>0</v>
      </c>
      <c r="Y40" s="4">
        <f>SUMIFS(Balancete!$G:$G,Balancete!$C:$C,Tabela!$S40,Balancete!$B:$B,"Dezembro",Balancete!$A:$A,2020)</f>
        <v>0</v>
      </c>
      <c r="Z40" s="4">
        <f>SUMIFS(Balancete!$G:$G,Balancete!$C:$C,Tabela!$S40,Balancete!$B:$B,"Janeiro",Balancete!$A:$A,2021)</f>
        <v>0</v>
      </c>
      <c r="AA40" s="4">
        <f>SUMIFS(Balancete!$G:$G,Balancete!$C:$C,Tabela!$S40,Balancete!$B:$B,"Fevereiro",Balancete!$A:$A,2021)</f>
        <v>0</v>
      </c>
      <c r="AB40" s="4"/>
      <c r="AG40" s="4"/>
    </row>
    <row r="41" spans="1:33" x14ac:dyDescent="0.35">
      <c r="A41" s="2" t="s">
        <v>245</v>
      </c>
      <c r="B41" s="1" t="s">
        <v>164</v>
      </c>
      <c r="C41" s="2" t="str">
        <f>VLOOKUP(A41,'Plano de Contas'!B:E,4,FALSE)</f>
        <v>GASES MEDICINAIS</v>
      </c>
      <c r="R41">
        <v>5</v>
      </c>
      <c r="S41" s="15" t="s">
        <v>255</v>
      </c>
      <c r="T41" s="14" t="str">
        <f t="shared" si="6"/>
        <v>MATERIAIS DE MANUTENCAO</v>
      </c>
      <c r="U41" s="4">
        <f>SUMIFS(Balancete!$F:$F,Balancete!$C:$C,Tabela!$S41,Balancete!$B:$B,"Dezembro",Balancete!$A:$A,2020)</f>
        <v>0</v>
      </c>
      <c r="V41" s="4">
        <f>SUMIFS(Balancete!$F:$F,Balancete!$C:$C,Tabela!$S41,Balancete!$B:$B,"Janeiro",Balancete!$A:$A,2021)</f>
        <v>0</v>
      </c>
      <c r="W41" s="4">
        <f>SUMIFS(Balancete!$F:$F,Balancete!$C:$C,Tabela!$S41,Balancete!$B:$B,"Fevereiro",Balancete!$A:$A,2021)</f>
        <v>0</v>
      </c>
      <c r="Y41" s="4">
        <f>SUMIFS(Balancete!$G:$G,Balancete!$C:$C,Tabela!$S41,Balancete!$B:$B,"Dezembro",Balancete!$A:$A,2020)</f>
        <v>0</v>
      </c>
      <c r="Z41" s="4">
        <f>SUMIFS(Balancete!$G:$G,Balancete!$C:$C,Tabela!$S41,Balancete!$B:$B,"Janeiro",Balancete!$A:$A,2021)</f>
        <v>0</v>
      </c>
      <c r="AA41" s="4">
        <f>SUMIFS(Balancete!$G:$G,Balancete!$C:$C,Tabela!$S41,Balancete!$B:$B,"Fevereiro",Balancete!$A:$A,2021)</f>
        <v>0</v>
      </c>
      <c r="AB41" s="4"/>
      <c r="AG41" s="4"/>
    </row>
    <row r="42" spans="1:33" x14ac:dyDescent="0.35">
      <c r="A42" s="2" t="s">
        <v>246</v>
      </c>
      <c r="B42" s="1" t="s">
        <v>256</v>
      </c>
      <c r="C42" s="2" t="str">
        <f>VLOOKUP(A42,'Plano de Contas'!B:E,4,FALSE)</f>
        <v>EMPRESTIMOS DE INSUMOS - CONCEDIDOS</v>
      </c>
      <c r="R42">
        <v>6</v>
      </c>
      <c r="S42" s="14" t="s">
        <v>257</v>
      </c>
      <c r="T42" s="14" t="str">
        <f t="shared" si="6"/>
        <v>IMPRESSOS E MATER. EXPEDIENTE</v>
      </c>
      <c r="U42" s="4">
        <f>SUMIFS(Balancete!$F:$F,Balancete!$C:$C,Tabela!$S42,Balancete!$B:$B,"Dezembro",Balancete!$A:$A,2020)</f>
        <v>0</v>
      </c>
      <c r="V42" s="4">
        <f>SUMIFS(Balancete!$F:$F,Balancete!$C:$C,Tabela!$S42,Balancete!$B:$B,"Janeiro",Balancete!$A:$A,2021)</f>
        <v>0</v>
      </c>
      <c r="W42" s="4">
        <f>SUMIFS(Balancete!$F:$F,Balancete!$C:$C,Tabela!$S42,Balancete!$B:$B,"Fevereiro",Balancete!$A:$A,2021)</f>
        <v>0</v>
      </c>
      <c r="Y42" s="4">
        <f>SUMIFS(Balancete!$G:$G,Balancete!$C:$C,Tabela!$S42,Balancete!$B:$B,"Dezembro",Balancete!$A:$A,2020)</f>
        <v>0</v>
      </c>
      <c r="Z42" s="4">
        <f>SUMIFS(Balancete!$G:$G,Balancete!$C:$C,Tabela!$S42,Balancete!$B:$B,"Janeiro",Balancete!$A:$A,2021)</f>
        <v>0</v>
      </c>
      <c r="AA42" s="4">
        <f>SUMIFS(Balancete!$G:$G,Balancete!$C:$C,Tabela!$S42,Balancete!$B:$B,"Fevereiro",Balancete!$A:$A,2021)</f>
        <v>0</v>
      </c>
      <c r="AB42" s="4"/>
      <c r="AG42" s="4"/>
    </row>
    <row r="43" spans="1:33" x14ac:dyDescent="0.35">
      <c r="A43" s="1" t="s">
        <v>246</v>
      </c>
      <c r="B43" s="1" t="s">
        <v>258</v>
      </c>
      <c r="C43" s="2" t="str">
        <f>VLOOKUP(A43,'Plano de Contas'!B:E,4,FALSE)</f>
        <v>EMPRESTIMOS DE INSUMOS - CONCEDIDOS</v>
      </c>
      <c r="R43">
        <v>7</v>
      </c>
      <c r="T43" s="14" t="e">
        <f t="shared" si="6"/>
        <v>#N/A</v>
      </c>
      <c r="U43" s="4">
        <f>SUMIFS(Balancete!$F:$F,Balancete!$C:$C,Tabela!$S43,Balancete!$B:$B,"Dezembro",Balancete!$A:$A,2020)</f>
        <v>0</v>
      </c>
      <c r="V43" s="4">
        <f>SUMIFS(Balancete!$F:$F,Balancete!$C:$C,Tabela!$S43,Balancete!$B:$B,"Janeiro",Balancete!$A:$A,2021)</f>
        <v>0</v>
      </c>
      <c r="W43" s="4">
        <f>SUMIFS(Balancete!$F:$F,Balancete!$C:$C,Tabela!$S43,Balancete!$B:$B,"Fevereiro",Balancete!$A:$A,2021)</f>
        <v>0</v>
      </c>
      <c r="Y43" s="4">
        <f>SUMIFS(Balancete!$G:$G,Balancete!$C:$C,Tabela!$S43,Balancete!$B:$B,"Dezembro",Balancete!$A:$A,2020)</f>
        <v>0</v>
      </c>
      <c r="Z43" s="4">
        <f>SUMIFS(Balancete!$G:$G,Balancete!$C:$C,Tabela!$S43,Balancete!$B:$B,"Janeiro",Balancete!$A:$A,2021)</f>
        <v>0</v>
      </c>
      <c r="AA43" s="4">
        <f>SUMIFS(Balancete!$G:$G,Balancete!$C:$C,Tabela!$S43,Balancete!$B:$B,"Fevereiro",Balancete!$A:$A,2021)</f>
        <v>0</v>
      </c>
      <c r="AB43" s="4"/>
      <c r="AG43" s="4"/>
    </row>
    <row r="44" spans="1:33" x14ac:dyDescent="0.35">
      <c r="A44" s="2" t="s">
        <v>247</v>
      </c>
      <c r="B44" s="1" t="s">
        <v>259</v>
      </c>
      <c r="C44" s="2" t="str">
        <f>VLOOKUP(A44,'Plano de Contas'!B:E,4,FALSE)</f>
        <v>( - )EMPRESTIMOS DE INSUMOS - RECEBIDOS</v>
      </c>
      <c r="R44">
        <v>8</v>
      </c>
      <c r="S44" s="14" t="s">
        <v>260</v>
      </c>
      <c r="T44" s="14" t="str">
        <f t="shared" si="6"/>
        <v>CENTRO DE MATERIAL ESTERILIZADO</v>
      </c>
      <c r="U44" s="4">
        <f>SUMIFS(Balancete!$F:$F,Balancete!$C:$C,Tabela!$S44,Balancete!$B:$B,"Dezembro",Balancete!$A:$A,2020)</f>
        <v>0</v>
      </c>
      <c r="V44" s="4">
        <f>SUMIFS(Balancete!$F:$F,Balancete!$C:$C,Tabela!$S44,Balancete!$B:$B,"Janeiro",Balancete!$A:$A,2021)</f>
        <v>0</v>
      </c>
      <c r="W44" s="4">
        <f>SUMIFS(Balancete!$F:$F,Balancete!$C:$C,Tabela!$S44,Balancete!$B:$B,"Fevereiro",Balancete!$A:$A,2021)</f>
        <v>0</v>
      </c>
      <c r="Y44" s="4">
        <f>SUMIFS(Balancete!$G:$G,Balancete!$C:$C,Tabela!$S44,Balancete!$B:$B,"Dezembro",Balancete!$A:$A,2020)</f>
        <v>0</v>
      </c>
      <c r="Z44" s="4">
        <f>SUMIFS(Balancete!$G:$G,Balancete!$C:$C,Tabela!$S44,Balancete!$B:$B,"Janeiro",Balancete!$A:$A,2021)</f>
        <v>0</v>
      </c>
      <c r="AA44" s="4">
        <f>SUMIFS(Balancete!$G:$G,Balancete!$C:$C,Tabela!$S44,Balancete!$B:$B,"Fevereiro",Balancete!$A:$A,2021)</f>
        <v>0</v>
      </c>
      <c r="AB44" s="4"/>
      <c r="AG44" s="4"/>
    </row>
    <row r="45" spans="1:33" x14ac:dyDescent="0.35">
      <c r="A45" s="1" t="s">
        <v>247</v>
      </c>
      <c r="B45" s="1" t="s">
        <v>261</v>
      </c>
      <c r="C45" s="2" t="str">
        <f>VLOOKUP(A45,'Plano de Contas'!B:E,4,FALSE)</f>
        <v>( - )EMPRESTIMOS DE INSUMOS - RECEBIDOS</v>
      </c>
      <c r="R45">
        <v>9</v>
      </c>
      <c r="S45" s="14" t="s">
        <v>262</v>
      </c>
      <c r="T45" s="14" t="str">
        <f t="shared" si="6"/>
        <v>OPME - ORTESES PROTESES E MATERIAIS ESPECIAIS</v>
      </c>
      <c r="U45" s="4">
        <f>SUMIFS(Balancete!$F:$F,Balancete!$C:$C,Tabela!$S45,Balancete!$B:$B,"Dezembro",Balancete!$A:$A,2020)</f>
        <v>0</v>
      </c>
      <c r="V45" s="4">
        <f>SUMIFS(Balancete!$F:$F,Balancete!$C:$C,Tabela!$S45,Balancete!$B:$B,"Janeiro",Balancete!$A:$A,2021)</f>
        <v>0</v>
      </c>
      <c r="W45" s="4">
        <f>SUMIFS(Balancete!$F:$F,Balancete!$C:$C,Tabela!$S45,Balancete!$B:$B,"Fevereiro",Balancete!$A:$A,2021)</f>
        <v>0</v>
      </c>
      <c r="Y45" s="4">
        <f>SUMIFS(Balancete!$G:$G,Balancete!$C:$C,Tabela!$S45,Balancete!$B:$B,"Dezembro",Balancete!$A:$A,2020)</f>
        <v>0</v>
      </c>
      <c r="Z45" s="4">
        <f>SUMIFS(Balancete!$G:$G,Balancete!$C:$C,Tabela!$S45,Balancete!$B:$B,"Janeiro",Balancete!$A:$A,2021)</f>
        <v>0</v>
      </c>
      <c r="AA45" s="4">
        <f>SUMIFS(Balancete!$G:$G,Balancete!$C:$C,Tabela!$S45,Balancete!$B:$B,"Fevereiro",Balancete!$A:$A,2021)</f>
        <v>0</v>
      </c>
      <c r="AB45" s="4"/>
    </row>
    <row r="46" spans="1:33" x14ac:dyDescent="0.35">
      <c r="A46" s="2" t="s">
        <v>263</v>
      </c>
      <c r="B46" s="1" t="s">
        <v>264</v>
      </c>
      <c r="C46" s="2" t="str">
        <f>VLOOKUP(A46,'Plano de Contas'!B:E,4,FALSE)</f>
        <v>ATIVO NAO CIRCULANTE</v>
      </c>
      <c r="R46">
        <v>10</v>
      </c>
      <c r="S46" s="14" t="s">
        <v>265</v>
      </c>
      <c r="T46" s="14" t="str">
        <f t="shared" si="6"/>
        <v>EQUIPAMENTOS DE PROTECAO</v>
      </c>
      <c r="U46" s="4">
        <f>SUMIFS(Balancete!$F:$F,Balancete!$C:$C,Tabela!$S46,Balancete!$B:$B,"Dezembro",Balancete!$A:$A,2020)</f>
        <v>0</v>
      </c>
      <c r="V46" s="4">
        <f>SUMIFS(Balancete!$F:$F,Balancete!$C:$C,Tabela!$S46,Balancete!$B:$B,"Janeiro",Balancete!$A:$A,2021)</f>
        <v>0</v>
      </c>
      <c r="W46" s="4">
        <f>SUMIFS(Balancete!$F:$F,Balancete!$C:$C,Tabela!$S46,Balancete!$B:$B,"Fevereiro",Balancete!$A:$A,2021)</f>
        <v>0</v>
      </c>
      <c r="Y46" s="4">
        <f>SUMIFS(Balancete!$G:$G,Balancete!$C:$C,Tabela!$S46,Balancete!$B:$B,"Dezembro",Balancete!$A:$A,2020)</f>
        <v>0</v>
      </c>
      <c r="Z46" s="4">
        <f>SUMIFS(Balancete!$G:$G,Balancete!$C:$C,Tabela!$S46,Balancete!$B:$B,"Janeiro",Balancete!$A:$A,2021)</f>
        <v>0</v>
      </c>
      <c r="AA46" s="4">
        <f>SUMIFS(Balancete!$G:$G,Balancete!$C:$C,Tabela!$S46,Balancete!$B:$B,"Fevereiro",Balancete!$A:$A,2021)</f>
        <v>0</v>
      </c>
      <c r="AB46" s="4"/>
      <c r="AG46" s="4"/>
    </row>
    <row r="47" spans="1:33" x14ac:dyDescent="0.35">
      <c r="A47" s="2" t="s">
        <v>266</v>
      </c>
      <c r="B47" s="1" t="s">
        <v>267</v>
      </c>
      <c r="C47" s="2" t="str">
        <f>VLOOKUP(A47,'Plano de Contas'!B:E,4,FALSE)</f>
        <v>ATIVO NAO CIRCULANTE - SAUDE</v>
      </c>
      <c r="R47">
        <v>11</v>
      </c>
      <c r="S47" s="14" t="s">
        <v>268</v>
      </c>
      <c r="T47" s="14" t="str">
        <f t="shared" si="6"/>
        <v>GASES MEDICINAIS</v>
      </c>
      <c r="U47" s="4">
        <f>SUMIFS(Balancete!$F:$F,Balancete!$C:$C,Tabela!$S47,Balancete!$B:$B,"Dezembro",Balancete!$A:$A,2020)</f>
        <v>0</v>
      </c>
      <c r="V47" s="4">
        <f>SUMIFS(Balancete!$F:$F,Balancete!$C:$C,Tabela!$S47,Balancete!$B:$B,"Janeiro",Balancete!$A:$A,2021)</f>
        <v>0</v>
      </c>
      <c r="W47" s="4">
        <f>SUMIFS(Balancete!$F:$F,Balancete!$C:$C,Tabela!$S47,Balancete!$B:$B,"Fevereiro",Balancete!$A:$A,2021)</f>
        <v>0</v>
      </c>
      <c r="Y47" s="4">
        <f>SUMIFS(Balancete!$G:$G,Balancete!$C:$C,Tabela!$S47,Balancete!$B:$B,"Dezembro",Balancete!$A:$A,2020)</f>
        <v>0</v>
      </c>
      <c r="Z47" s="4">
        <f>SUMIFS(Balancete!$G:$G,Balancete!$C:$C,Tabela!$S47,Balancete!$B:$B,"Janeiro",Balancete!$A:$A,2021)</f>
        <v>0</v>
      </c>
      <c r="AA47" s="4">
        <f>SUMIFS(Balancete!$G:$G,Balancete!$C:$C,Tabela!$S47,Balancete!$B:$B,"Fevereiro",Balancete!$A:$A,2021)</f>
        <v>0</v>
      </c>
      <c r="AB47" s="4"/>
      <c r="AG47" s="4"/>
    </row>
    <row r="48" spans="1:33" x14ac:dyDescent="0.35">
      <c r="A48" s="1" t="s">
        <v>266</v>
      </c>
      <c r="B48" s="1" t="s">
        <v>269</v>
      </c>
      <c r="C48" s="2" t="str">
        <f>VLOOKUP(A48,'Plano de Contas'!B:E,4,FALSE)</f>
        <v>ATIVO NAO CIRCULANTE - SAUDE</v>
      </c>
      <c r="R48">
        <v>12</v>
      </c>
      <c r="T48" s="14" t="e">
        <f t="shared" si="6"/>
        <v>#N/A</v>
      </c>
      <c r="U48" s="4">
        <f>SUMIFS(Balancete!$F:$F,Balancete!$C:$C,Tabela!$S48,Balancete!$B:$B,"Dezembro",Balancete!$A:$A,2020)</f>
        <v>0</v>
      </c>
      <c r="V48" s="4">
        <f>SUMIFS(Balancete!$F:$F,Balancete!$C:$C,Tabela!$S48,Balancete!$B:$B,"Janeiro",Balancete!$A:$A,2021)</f>
        <v>0</v>
      </c>
      <c r="W48" s="4">
        <f>SUMIFS(Balancete!$F:$F,Balancete!$C:$C,Tabela!$S48,Balancete!$B:$B,"Fevereiro",Balancete!$A:$A,2021)</f>
        <v>0</v>
      </c>
      <c r="Y48" s="4">
        <f>SUMIFS(Balancete!$G:$G,Balancete!$C:$C,Tabela!$S48,Balancete!$B:$B,"Dezembro",Balancete!$A:$A,2020)</f>
        <v>0</v>
      </c>
      <c r="Z48" s="4">
        <f>SUMIFS(Balancete!$G:$G,Balancete!$C:$C,Tabela!$S48,Balancete!$B:$B,"Janeiro",Balancete!$A:$A,2021)</f>
        <v>0</v>
      </c>
      <c r="AA48" s="4">
        <f>SUMIFS(Balancete!$G:$G,Balancete!$C:$C,Tabela!$S48,Balancete!$B:$B,"Fevereiro",Balancete!$A:$A,2021)</f>
        <v>0</v>
      </c>
      <c r="AB48" s="4"/>
      <c r="AG48" s="4"/>
    </row>
    <row r="49" spans="1:33" x14ac:dyDescent="0.35">
      <c r="A49" s="2" t="s">
        <v>270</v>
      </c>
      <c r="B49" s="1" t="s">
        <v>271</v>
      </c>
      <c r="C49" s="2" t="str">
        <f>VLOOKUP(A49,'Plano de Contas'!B:E,4,FALSE)</f>
        <v>IMOBILIZADO - SAUDE</v>
      </c>
      <c r="R49">
        <v>13</v>
      </c>
      <c r="T49" s="14" t="e">
        <f t="shared" si="6"/>
        <v>#N/A</v>
      </c>
      <c r="U49" s="4">
        <f>SUMIFS(Balancete!$F:$F,Balancete!$C:$C,Tabela!$S49,Balancete!$B:$B,"Dezembro",Balancete!$A:$A,2020)</f>
        <v>0</v>
      </c>
      <c r="V49" s="4">
        <f>SUMIFS(Balancete!$F:$F,Balancete!$C:$C,Tabela!$S49,Balancete!$B:$B,"Janeiro",Balancete!$A:$A,2021)</f>
        <v>0</v>
      </c>
      <c r="W49" s="4">
        <f>SUMIFS(Balancete!$F:$F,Balancete!$C:$C,Tabela!$S49,Balancete!$B:$B,"Fevereiro",Balancete!$A:$A,2021)</f>
        <v>0</v>
      </c>
      <c r="Y49" s="4">
        <f>SUMIFS(Balancete!$G:$G,Balancete!$C:$C,Tabela!$S49,Balancete!$B:$B,"Dezembro",Balancete!$A:$A,2020)</f>
        <v>0</v>
      </c>
      <c r="Z49" s="4">
        <f>SUMIFS(Balancete!$G:$G,Balancete!$C:$C,Tabela!$S49,Balancete!$B:$B,"Janeiro",Balancete!$A:$A,2021)</f>
        <v>0</v>
      </c>
      <c r="AA49" s="4">
        <f>SUMIFS(Balancete!$G:$G,Balancete!$C:$C,Tabela!$S49,Balancete!$B:$B,"Fevereiro",Balancete!$A:$A,2021)</f>
        <v>0</v>
      </c>
      <c r="AB49" s="4"/>
      <c r="AG49" s="4"/>
    </row>
    <row r="50" spans="1:33" x14ac:dyDescent="0.35">
      <c r="A50" s="2" t="s">
        <v>272</v>
      </c>
      <c r="B50" s="1" t="s">
        <v>84</v>
      </c>
      <c r="C50" s="2" t="str">
        <f>VLOOKUP(A50,'Plano de Contas'!B:E,4,FALSE)</f>
        <v>IMOBILIZADO</v>
      </c>
      <c r="AG50" s="4"/>
    </row>
    <row r="51" spans="1:33" x14ac:dyDescent="0.35">
      <c r="A51" s="2" t="s">
        <v>273</v>
      </c>
      <c r="B51" s="1" t="s">
        <v>274</v>
      </c>
      <c r="C51" s="2" t="str">
        <f>VLOOKUP(A51,'Plano de Contas'!B:E,4,FALSE)</f>
        <v>EQUIPAMENTOS DE PROCESSAMENTO DE DADOS</v>
      </c>
      <c r="AG51" s="4"/>
    </row>
    <row r="52" spans="1:33" x14ac:dyDescent="0.35">
      <c r="A52" s="2" t="s">
        <v>275</v>
      </c>
      <c r="B52" s="1" t="s">
        <v>276</v>
      </c>
      <c r="C52" s="2" t="str">
        <f>VLOOKUP(A52,'Plano de Contas'!B:E,4,FALSE)</f>
        <v>( - ) DEPRECIACOES ACUMULADAS</v>
      </c>
      <c r="AG52" s="4"/>
    </row>
    <row r="53" spans="1:33" x14ac:dyDescent="0.35">
      <c r="A53" s="2" t="s">
        <v>277</v>
      </c>
      <c r="B53" s="1" t="s">
        <v>278</v>
      </c>
      <c r="C53" s="2" t="str">
        <f>VLOOKUP(A53,'Plano de Contas'!B:E,4,FALSE)</f>
        <v>( - ) DEPR.ACUM.EQUIPAMENTOS PROCESSAMENTO DE DADOS</v>
      </c>
    </row>
    <row r="54" spans="1:33" x14ac:dyDescent="0.35">
      <c r="A54" s="2" t="s">
        <v>279</v>
      </c>
      <c r="B54" s="1" t="s">
        <v>280</v>
      </c>
      <c r="C54" s="2" t="str">
        <f>VLOOKUP(A54,'Plano de Contas'!B:E,4,FALSE)</f>
        <v>IMOBILIZADO - GESTAO PUBLICA.</v>
      </c>
    </row>
    <row r="55" spans="1:33" x14ac:dyDescent="0.35">
      <c r="A55" s="1" t="s">
        <v>279</v>
      </c>
      <c r="B55" s="1" t="s">
        <v>281</v>
      </c>
      <c r="C55" s="2" t="str">
        <f>VLOOKUP(A55,'Plano de Contas'!B:E,4,FALSE)</f>
        <v>IMOBILIZADO - GESTAO PUBLICA.</v>
      </c>
    </row>
    <row r="56" spans="1:33" x14ac:dyDescent="0.35">
      <c r="A56" s="2" t="s">
        <v>282</v>
      </c>
      <c r="B56" s="1" t="s">
        <v>283</v>
      </c>
      <c r="C56" s="2" t="str">
        <f>VLOOKUP(A56,'Plano de Contas'!B:E,4,FALSE)</f>
        <v>INSTALACOES - GP</v>
      </c>
    </row>
    <row r="57" spans="1:33" x14ac:dyDescent="0.35">
      <c r="A57" s="2" t="s">
        <v>284</v>
      </c>
      <c r="B57" s="1" t="s">
        <v>285</v>
      </c>
      <c r="C57" s="2" t="str">
        <f>VLOOKUP(A57,'Plano de Contas'!B:E,4,FALSE)</f>
        <v>APARELHOS MEDICINA E CIRURGIA - GP</v>
      </c>
    </row>
    <row r="58" spans="1:33" x14ac:dyDescent="0.35">
      <c r="A58" s="1" t="s">
        <v>284</v>
      </c>
      <c r="B58" s="1" t="s">
        <v>286</v>
      </c>
      <c r="C58" s="2" t="str">
        <f>VLOOKUP(A58,'Plano de Contas'!B:E,4,FALSE)</f>
        <v>APARELHOS MEDICINA E CIRURGIA - GP</v>
      </c>
    </row>
    <row r="59" spans="1:33" x14ac:dyDescent="0.35">
      <c r="A59" s="2" t="s">
        <v>287</v>
      </c>
      <c r="B59" s="1" t="s">
        <v>288</v>
      </c>
      <c r="C59" s="2" t="str">
        <f>VLOOKUP(A59,'Plano de Contas'!B:E,4,FALSE)</f>
        <v>INSTRUMENTOS DE CIRURGIA - GP</v>
      </c>
    </row>
    <row r="60" spans="1:33" x14ac:dyDescent="0.35">
      <c r="A60" s="1" t="s">
        <v>287</v>
      </c>
      <c r="B60" s="1" t="s">
        <v>289</v>
      </c>
      <c r="C60" s="2" t="str">
        <f>VLOOKUP(A60,'Plano de Contas'!B:E,4,FALSE)</f>
        <v>INSTRUMENTOS DE CIRURGIA - GP</v>
      </c>
    </row>
    <row r="61" spans="1:33" x14ac:dyDescent="0.35">
      <c r="A61" s="2" t="s">
        <v>290</v>
      </c>
      <c r="B61" s="1" t="s">
        <v>291</v>
      </c>
      <c r="C61" s="2" t="str">
        <f>VLOOKUP(A61,'Plano de Contas'!B:E,4,FALSE)</f>
        <v>MOVEIS E MAQUINAS - GP</v>
      </c>
    </row>
    <row r="62" spans="1:33" x14ac:dyDescent="0.35">
      <c r="A62" s="2" t="s">
        <v>292</v>
      </c>
      <c r="B62" s="1" t="s">
        <v>274</v>
      </c>
      <c r="C62" s="2" t="str">
        <f>VLOOKUP(A62,'Plano de Contas'!B:E,4,FALSE)</f>
        <v>EQUIPAMENTOS DE PROCESSAMENTO DE DADOS - GP</v>
      </c>
    </row>
    <row r="63" spans="1:33" x14ac:dyDescent="0.35">
      <c r="A63" s="1" t="s">
        <v>292</v>
      </c>
      <c r="B63" s="1" t="s">
        <v>293</v>
      </c>
      <c r="C63" s="2" t="str">
        <f>VLOOKUP(A63,'Plano de Contas'!B:E,4,FALSE)</f>
        <v>EQUIPAMENTOS DE PROCESSAMENTO DE DADOS - GP</v>
      </c>
    </row>
    <row r="64" spans="1:33" x14ac:dyDescent="0.35">
      <c r="A64" s="2" t="s">
        <v>294</v>
      </c>
      <c r="B64" s="1" t="s">
        <v>295</v>
      </c>
      <c r="C64" s="2" t="str">
        <f>VLOOKUP(A64,'Plano de Contas'!B:E,4,FALSE)</f>
        <v>BENFEITORIAS - GP</v>
      </c>
    </row>
    <row r="65" spans="1:3" x14ac:dyDescent="0.35">
      <c r="A65" s="3" t="s">
        <v>296</v>
      </c>
      <c r="B65" s="1" t="s">
        <v>297</v>
      </c>
      <c r="C65" s="2" t="str">
        <f>VLOOKUP(A65,'Plano de Contas'!B:E,4,FALSE)</f>
        <v>BENS ADQUIRIDOS A IMOBILIZAR - GP</v>
      </c>
    </row>
    <row r="66" spans="1:3" x14ac:dyDescent="0.35">
      <c r="A66" s="1" t="s">
        <v>296</v>
      </c>
      <c r="B66" s="1" t="s">
        <v>298</v>
      </c>
      <c r="C66" s="2" t="str">
        <f>VLOOKUP(A66,'Plano de Contas'!B:E,4,FALSE)</f>
        <v>BENS ADQUIRIDOS A IMOBILIZAR - GP</v>
      </c>
    </row>
    <row r="67" spans="1:3" x14ac:dyDescent="0.35">
      <c r="A67" s="2" t="s">
        <v>299</v>
      </c>
      <c r="B67" s="1" t="s">
        <v>300</v>
      </c>
      <c r="C67" s="2" t="str">
        <f>VLOOKUP(A67,'Plano de Contas'!B:E,4,FALSE)</f>
        <v>(-) DEPR.ACUMULADAS - GESTAO PUBLICA.</v>
      </c>
    </row>
    <row r="68" spans="1:3" x14ac:dyDescent="0.35">
      <c r="A68" s="1" t="s">
        <v>299</v>
      </c>
      <c r="B68" s="1" t="s">
        <v>301</v>
      </c>
      <c r="C68" s="2" t="str">
        <f>VLOOKUP(A68,'Plano de Contas'!B:E,4,FALSE)</f>
        <v>(-) DEPR.ACUMULADAS - GESTAO PUBLICA.</v>
      </c>
    </row>
    <row r="69" spans="1:3" x14ac:dyDescent="0.35">
      <c r="A69" s="2" t="s">
        <v>302</v>
      </c>
      <c r="B69" s="1" t="s">
        <v>303</v>
      </c>
      <c r="C69" s="2" t="str">
        <f>VLOOKUP(A69,'Plano de Contas'!B:E,4,FALSE)</f>
        <v>( - ) DEPR.ACUM.INSTALACOES - GP</v>
      </c>
    </row>
    <row r="70" spans="1:3" x14ac:dyDescent="0.35">
      <c r="A70" s="1" t="s">
        <v>302</v>
      </c>
      <c r="B70" s="1" t="s">
        <v>304</v>
      </c>
      <c r="C70" s="2" t="str">
        <f>VLOOKUP(A70,'Plano de Contas'!B:E,4,FALSE)</f>
        <v>( - ) DEPR.ACUM.INSTALACOES - GP</v>
      </c>
    </row>
    <row r="71" spans="1:3" x14ac:dyDescent="0.35">
      <c r="A71" s="2" t="s">
        <v>305</v>
      </c>
      <c r="B71" s="1" t="s">
        <v>306</v>
      </c>
      <c r="C71" s="2" t="str">
        <f>VLOOKUP(A71,'Plano de Contas'!B:E,4,FALSE)</f>
        <v>( - ) DEPR.ACUM.APARELHOS MEDICINA E CIRURGIA - GP</v>
      </c>
    </row>
    <row r="72" spans="1:3" x14ac:dyDescent="0.35">
      <c r="A72" s="1" t="s">
        <v>305</v>
      </c>
      <c r="B72" s="1" t="s">
        <v>307</v>
      </c>
      <c r="C72" s="2" t="str">
        <f>VLOOKUP(A72,'Plano de Contas'!B:E,4,FALSE)</f>
        <v>( - ) DEPR.ACUM.APARELHOS MEDICINA E CIRURGIA - GP</v>
      </c>
    </row>
    <row r="73" spans="1:3" x14ac:dyDescent="0.35">
      <c r="A73" s="2" t="s">
        <v>308</v>
      </c>
      <c r="B73" s="1" t="s">
        <v>309</v>
      </c>
      <c r="C73" s="2" t="str">
        <f>VLOOKUP(A73,'Plano de Contas'!B:E,4,FALSE)</f>
        <v>( - ) DEPR.ACUM.INSTRUMENTOS MEDICINA E CIRURGIA - GP</v>
      </c>
    </row>
    <row r="74" spans="1:3" x14ac:dyDescent="0.35">
      <c r="A74" s="1" t="s">
        <v>308</v>
      </c>
      <c r="B74" s="1" t="s">
        <v>310</v>
      </c>
      <c r="C74" s="2" t="str">
        <f>VLOOKUP(A74,'Plano de Contas'!B:E,4,FALSE)</f>
        <v>( - ) DEPR.ACUM.INSTRUMENTOS MEDICINA E CIRURGIA - GP</v>
      </c>
    </row>
    <row r="75" spans="1:3" x14ac:dyDescent="0.35">
      <c r="A75" s="2" t="s">
        <v>311</v>
      </c>
      <c r="B75" s="1" t="s">
        <v>312</v>
      </c>
      <c r="C75" s="2" t="str">
        <f>VLOOKUP(A75,'Plano de Contas'!B:E,4,FALSE)</f>
        <v>( - ) DEPR.ACUM.MOVEIS E MAQUINAS - GP</v>
      </c>
    </row>
    <row r="76" spans="1:3" x14ac:dyDescent="0.35">
      <c r="A76" s="1" t="s">
        <v>311</v>
      </c>
      <c r="B76" s="1" t="s">
        <v>313</v>
      </c>
      <c r="C76" s="2" t="str">
        <f>VLOOKUP(A76,'Plano de Contas'!B:E,4,FALSE)</f>
        <v>( - ) DEPR.ACUM.MOVEIS E MAQUINAS - GP</v>
      </c>
    </row>
    <row r="77" spans="1:3" x14ac:dyDescent="0.35">
      <c r="A77" s="2" t="s">
        <v>314</v>
      </c>
      <c r="B77" s="1" t="s">
        <v>278</v>
      </c>
      <c r="C77" s="2" t="str">
        <f>VLOOKUP(A77,'Plano de Contas'!B:E,4,FALSE)</f>
        <v>( - ) DEPR.ACUM.EQUIPAMENTOS PROCESSAMENTO DE DADOS - GP</v>
      </c>
    </row>
    <row r="78" spans="1:3" x14ac:dyDescent="0.35">
      <c r="A78" s="1" t="s">
        <v>314</v>
      </c>
      <c r="B78" s="1" t="s">
        <v>315</v>
      </c>
      <c r="C78" s="2" t="str">
        <f>VLOOKUP(A78,'Plano de Contas'!B:E,4,FALSE)</f>
        <v>( - ) DEPR.ACUM.EQUIPAMENTOS PROCESSAMENTO DE DADOS - GP</v>
      </c>
    </row>
    <row r="79" spans="1:3" x14ac:dyDescent="0.35">
      <c r="A79" s="2" t="s">
        <v>316</v>
      </c>
      <c r="B79" s="1" t="s">
        <v>317</v>
      </c>
      <c r="C79" s="2" t="str">
        <f>VLOOKUP(A79,'Plano de Contas'!B:E,4,FALSE)</f>
        <v>( - ) DEPR.ACUM.BENFEITORIAS - GP</v>
      </c>
    </row>
    <row r="80" spans="1:3" x14ac:dyDescent="0.35">
      <c r="A80" s="1" t="s">
        <v>316</v>
      </c>
      <c r="B80" s="1" t="s">
        <v>318</v>
      </c>
      <c r="C80" s="2" t="str">
        <f>VLOOKUP(A80,'Plano de Contas'!B:E,4,FALSE)</f>
        <v>( - ) DEPR.ACUM.BENFEITORIAS - GP</v>
      </c>
    </row>
    <row r="81" spans="1:3" x14ac:dyDescent="0.35">
      <c r="A81" s="2" t="s">
        <v>319</v>
      </c>
      <c r="B81" s="1" t="s">
        <v>320</v>
      </c>
      <c r="C81" s="2" t="str">
        <f>VLOOKUP(A81,'Plano de Contas'!B:E,4,FALSE)</f>
        <v>INTANGIVEL - SAUDE</v>
      </c>
    </row>
    <row r="82" spans="1:3" x14ac:dyDescent="0.35">
      <c r="A82" s="2" t="s">
        <v>321</v>
      </c>
      <c r="B82" s="1" t="s">
        <v>322</v>
      </c>
      <c r="C82" s="2" t="str">
        <f>VLOOKUP(A82,'Plano de Contas'!B:E,4,FALSE)</f>
        <v>INTANGIVEL - GESTAO PUBLICA.</v>
      </c>
    </row>
    <row r="83" spans="1:3" x14ac:dyDescent="0.35">
      <c r="A83" s="1" t="s">
        <v>321</v>
      </c>
      <c r="B83" s="1" t="s">
        <v>323</v>
      </c>
      <c r="C83" s="2" t="str">
        <f>VLOOKUP(A83,'Plano de Contas'!B:E,4,FALSE)</f>
        <v>INTANGIVEL - GESTAO PUBLICA.</v>
      </c>
    </row>
    <row r="84" spans="1:3" x14ac:dyDescent="0.35">
      <c r="A84" s="2" t="s">
        <v>324</v>
      </c>
      <c r="B84" s="1" t="s">
        <v>325</v>
      </c>
      <c r="C84" s="2" t="str">
        <f>VLOOKUP(A84,'Plano de Contas'!B:E,4,FALSE)</f>
        <v>DIREITO DE USO DE SOFTWARE - GP</v>
      </c>
    </row>
    <row r="85" spans="1:3" x14ac:dyDescent="0.35">
      <c r="A85" s="1" t="s">
        <v>324</v>
      </c>
      <c r="B85" s="1" t="s">
        <v>326</v>
      </c>
      <c r="C85" s="2" t="str">
        <f>VLOOKUP(A85,'Plano de Contas'!B:E,4,FALSE)</f>
        <v>DIREITO DE USO DE SOFTWARE - GP</v>
      </c>
    </row>
    <row r="86" spans="1:3" x14ac:dyDescent="0.35">
      <c r="A86" s="2" t="s">
        <v>327</v>
      </c>
      <c r="B86" s="1" t="s">
        <v>328</v>
      </c>
      <c r="C86" s="2" t="str">
        <f>VLOOKUP(A86,'Plano de Contas'!B:E,4,FALSE)</f>
        <v>( - ) AMORTIZACOES ACUMULADAS - GESTAO PUBLICA</v>
      </c>
    </row>
    <row r="87" spans="1:3" x14ac:dyDescent="0.35">
      <c r="A87" s="1" t="s">
        <v>327</v>
      </c>
      <c r="B87" s="1" t="s">
        <v>329</v>
      </c>
      <c r="C87" s="2" t="str">
        <f>VLOOKUP(A87,'Plano de Contas'!B:E,4,FALSE)</f>
        <v>( - ) AMORTIZACOES ACUMULADAS - GESTAO PUBLICA</v>
      </c>
    </row>
    <row r="88" spans="1:3" x14ac:dyDescent="0.35">
      <c r="A88" s="2" t="s">
        <v>330</v>
      </c>
      <c r="B88" s="1" t="s">
        <v>331</v>
      </c>
      <c r="C88" s="2" t="str">
        <f>VLOOKUP(A88,'Plano de Contas'!B:E,4,FALSE)</f>
        <v>( - ) AMORTIZACAO ACUM.SOFTWARE - GP</v>
      </c>
    </row>
    <row r="89" spans="1:3" x14ac:dyDescent="0.35">
      <c r="A89" s="1" t="s">
        <v>330</v>
      </c>
      <c r="B89" s="1" t="s">
        <v>332</v>
      </c>
      <c r="C89" s="2" t="str">
        <f>VLOOKUP(A89,'Plano de Contas'!B:E,4,FALSE)</f>
        <v>( - ) AMORTIZACAO ACUM.SOFTWARE - GP</v>
      </c>
    </row>
    <row r="90" spans="1:3" x14ac:dyDescent="0.35">
      <c r="A90" s="2" t="s">
        <v>333</v>
      </c>
      <c r="B90" s="1" t="s">
        <v>334</v>
      </c>
      <c r="C90" s="2" t="str">
        <f>VLOOKUP(A90,'Plano de Contas'!B:E,4,FALSE)</f>
        <v>DIREITO DE USO DE ARRENDAMENTOS - SAUDE</v>
      </c>
    </row>
    <row r="91" spans="1:3" x14ac:dyDescent="0.35">
      <c r="A91" s="2" t="s">
        <v>335</v>
      </c>
      <c r="B91" s="1" t="s">
        <v>336</v>
      </c>
      <c r="C91" s="2" t="str">
        <f>VLOOKUP(A91,'Plano de Contas'!B:E,4,FALSE)</f>
        <v>ATIVOS FIXOS DE ARRENDAMENTOS - SAUDE</v>
      </c>
    </row>
    <row r="92" spans="1:3" x14ac:dyDescent="0.35">
      <c r="A92" s="2" t="s">
        <v>337</v>
      </c>
      <c r="B92" s="1" t="s">
        <v>338</v>
      </c>
      <c r="C92" s="2" t="str">
        <f>VLOOKUP(A92,'Plano de Contas'!B:E,4,FALSE)</f>
        <v>MOVEIS E MAQUINAS</v>
      </c>
    </row>
    <row r="93" spans="1:3" x14ac:dyDescent="0.35">
      <c r="A93" s="2" t="s">
        <v>339</v>
      </c>
      <c r="B93" s="1" t="s">
        <v>340</v>
      </c>
      <c r="C93" s="2" t="str">
        <f>VLOOKUP(A93,'Plano de Contas'!B:E,4,FALSE)</f>
        <v>(-)DEPRECIACOES ACUMULADAS DE ARRENDAMENTOS - SAUD</v>
      </c>
    </row>
    <row r="94" spans="1:3" x14ac:dyDescent="0.35">
      <c r="A94" s="2" t="s">
        <v>341</v>
      </c>
      <c r="B94" s="1" t="s">
        <v>342</v>
      </c>
      <c r="C94" s="2" t="str">
        <f>VLOOKUP(A94,'Plano de Contas'!B:E,4,FALSE)</f>
        <v>(-) DEPR.ACUM.MOVEIS E MAQUINAS</v>
      </c>
    </row>
    <row r="95" spans="1:3" x14ac:dyDescent="0.35">
      <c r="A95" s="2" t="s">
        <v>343</v>
      </c>
      <c r="B95" s="1" t="s">
        <v>344</v>
      </c>
      <c r="C95" s="2" t="str">
        <f>VLOOKUP(A95,'Plano de Contas'!B:E,4,FALSE)</f>
        <v>PASSIVO CIRCULANTE</v>
      </c>
    </row>
    <row r="96" spans="1:3" x14ac:dyDescent="0.35">
      <c r="A96" s="2" t="s">
        <v>345</v>
      </c>
      <c r="B96" s="1" t="s">
        <v>346</v>
      </c>
      <c r="C96" s="2" t="str">
        <f>VLOOKUP(A96,'Plano de Contas'!B:E,4,FALSE)</f>
        <v>PASSIVO CIRCULANTE - SAUDE</v>
      </c>
    </row>
    <row r="97" spans="1:3" x14ac:dyDescent="0.35">
      <c r="A97" s="1" t="s">
        <v>345</v>
      </c>
      <c r="B97" s="1" t="s">
        <v>347</v>
      </c>
      <c r="C97" s="2" t="str">
        <f>VLOOKUP(A97,'Plano de Contas'!B:E,4,FALSE)</f>
        <v>PASSIVO CIRCULANTE - SAUDE</v>
      </c>
    </row>
    <row r="98" spans="1:3" x14ac:dyDescent="0.35">
      <c r="A98" s="2" t="s">
        <v>348</v>
      </c>
      <c r="B98" s="1" t="s">
        <v>349</v>
      </c>
      <c r="C98" s="2" t="str">
        <f>VLOOKUP(A98,'Plano de Contas'!B:E,4,FALSE)</f>
        <v>FORNECEDORES - SAUDE</v>
      </c>
    </row>
    <row r="99" spans="1:3" x14ac:dyDescent="0.35">
      <c r="A99" s="2" t="s">
        <v>350</v>
      </c>
      <c r="B99" s="1" t="s">
        <v>351</v>
      </c>
      <c r="C99" s="2" t="str">
        <f>VLOOKUP(A99,'Plano de Contas'!B:E,4,FALSE)</f>
        <v>FORNEC.MATERIAIS/MEDICAMENTOS</v>
      </c>
    </row>
    <row r="100" spans="1:3" x14ac:dyDescent="0.35">
      <c r="A100" s="1" t="s">
        <v>350</v>
      </c>
      <c r="B100" s="1" t="s">
        <v>352</v>
      </c>
      <c r="C100" s="2" t="str">
        <f>VLOOKUP(A100,'Plano de Contas'!B:E,4,FALSE)</f>
        <v>FORNEC.MATERIAIS/MEDICAMENTOS</v>
      </c>
    </row>
    <row r="101" spans="1:3" x14ac:dyDescent="0.35">
      <c r="A101" s="2" t="s">
        <v>353</v>
      </c>
      <c r="B101" s="1" t="s">
        <v>354</v>
      </c>
      <c r="C101" s="2" t="str">
        <f>VLOOKUP(A101,'Plano de Contas'!B:E,4,FALSE)</f>
        <v>FORNEC. MATERIAIS/MEDICAMENTOS</v>
      </c>
    </row>
    <row r="102" spans="1:3" x14ac:dyDescent="0.35">
      <c r="A102" s="1" t="s">
        <v>353</v>
      </c>
      <c r="B102" s="1" t="s">
        <v>355</v>
      </c>
      <c r="C102" s="2" t="str">
        <f>VLOOKUP(A102,'Plano de Contas'!B:E,4,FALSE)</f>
        <v>FORNEC. MATERIAIS/MEDICAMENTOS</v>
      </c>
    </row>
    <row r="103" spans="1:3" x14ac:dyDescent="0.35">
      <c r="A103" s="2" t="s">
        <v>356</v>
      </c>
      <c r="B103" s="1" t="s">
        <v>357</v>
      </c>
      <c r="C103" s="2" t="str">
        <f>VLOOKUP(A103,'Plano de Contas'!B:E,4,FALSE)</f>
        <v>FORNEC. SERVICOS MEDICOS - PJ -</v>
      </c>
    </row>
    <row r="104" spans="1:3" x14ac:dyDescent="0.35">
      <c r="A104" s="1" t="s">
        <v>356</v>
      </c>
      <c r="B104" s="1" t="s">
        <v>358</v>
      </c>
      <c r="C104" s="2" t="str">
        <f>VLOOKUP(A104,'Plano de Contas'!B:E,4,FALSE)</f>
        <v>FORNEC. SERVICOS MEDICOS - PJ -</v>
      </c>
    </row>
    <row r="105" spans="1:3" x14ac:dyDescent="0.35">
      <c r="A105" s="2" t="s">
        <v>359</v>
      </c>
      <c r="B105" s="1" t="s">
        <v>360</v>
      </c>
      <c r="C105" s="2" t="str">
        <f>VLOOKUP(A105,'Plano de Contas'!B:E,4,FALSE)</f>
        <v>FORNEC.SERVICOS MEDICOS - PJ</v>
      </c>
    </row>
    <row r="106" spans="1:3" x14ac:dyDescent="0.35">
      <c r="A106" s="1" t="s">
        <v>359</v>
      </c>
      <c r="B106" s="1" t="s">
        <v>361</v>
      </c>
      <c r="C106" s="2" t="str">
        <f>VLOOKUP(A106,'Plano de Contas'!B:E,4,FALSE)</f>
        <v>FORNEC.SERVICOS MEDICOS - PJ</v>
      </c>
    </row>
    <row r="107" spans="1:3" x14ac:dyDescent="0.35">
      <c r="A107" s="2" t="s">
        <v>362</v>
      </c>
      <c r="B107" s="1" t="s">
        <v>363</v>
      </c>
      <c r="C107" s="2" t="str">
        <f>VLOOKUP(A107,'Plano de Contas'!B:E,4,FALSE)</f>
        <v>FORNEC. SERVICOS  DIVERSOS PJ</v>
      </c>
    </row>
    <row r="108" spans="1:3" x14ac:dyDescent="0.35">
      <c r="A108" s="1" t="s">
        <v>362</v>
      </c>
      <c r="B108" s="1" t="s">
        <v>364</v>
      </c>
      <c r="C108" s="2" t="str">
        <f>VLOOKUP(A108,'Plano de Contas'!B:E,4,FALSE)</f>
        <v>FORNEC. SERVICOS  DIVERSOS PJ</v>
      </c>
    </row>
    <row r="109" spans="1:3" x14ac:dyDescent="0.35">
      <c r="A109" s="2" t="s">
        <v>365</v>
      </c>
      <c r="B109" s="1" t="s">
        <v>366</v>
      </c>
      <c r="C109" s="2" t="str">
        <f>VLOOKUP(A109,'Plano de Contas'!B:E,4,FALSE)</f>
        <v>FORNEC. SERVICOS DIVERSOS PJ</v>
      </c>
    </row>
    <row r="110" spans="1:3" x14ac:dyDescent="0.35">
      <c r="A110" s="1" t="s">
        <v>365</v>
      </c>
      <c r="B110" s="1" t="s">
        <v>367</v>
      </c>
      <c r="C110" s="2" t="str">
        <f>VLOOKUP(A110,'Plano de Contas'!B:E,4,FALSE)</f>
        <v>FORNEC. SERVICOS DIVERSOS PJ</v>
      </c>
    </row>
    <row r="111" spans="1:3" x14ac:dyDescent="0.35">
      <c r="A111" s="2" t="s">
        <v>368</v>
      </c>
      <c r="B111" s="1" t="s">
        <v>369</v>
      </c>
      <c r="C111" s="2" t="str">
        <f>VLOOKUP(A111,'Plano de Contas'!B:E,4,FALSE)</f>
        <v>OBRIGACOES - SAUDE</v>
      </c>
    </row>
    <row r="112" spans="1:3" x14ac:dyDescent="0.35">
      <c r="A112" s="2" t="s">
        <v>370</v>
      </c>
      <c r="B112" s="1" t="s">
        <v>371</v>
      </c>
      <c r="C112" s="2" t="str">
        <f>VLOOKUP(A112,'Plano de Contas'!B:E,4,FALSE)</f>
        <v>OBRIGACOES TRABALHISTAS</v>
      </c>
    </row>
    <row r="113" spans="1:3" x14ac:dyDescent="0.35">
      <c r="A113" s="1" t="s">
        <v>370</v>
      </c>
      <c r="B113" s="1" t="s">
        <v>372</v>
      </c>
      <c r="C113" s="2" t="str">
        <f>VLOOKUP(A113,'Plano de Contas'!B:E,4,FALSE)</f>
        <v>OBRIGACOES TRABALHISTAS</v>
      </c>
    </row>
    <row r="114" spans="1:3" x14ac:dyDescent="0.35">
      <c r="A114" s="2" t="s">
        <v>373</v>
      </c>
      <c r="B114" s="1" t="s">
        <v>374</v>
      </c>
      <c r="C114" s="2" t="str">
        <f>VLOOKUP(A114,'Plano de Contas'!B:E,4,FALSE)</f>
        <v>ORDENADOS A PAGAR</v>
      </c>
    </row>
    <row r="115" spans="1:3" x14ac:dyDescent="0.35">
      <c r="A115" s="2" t="s">
        <v>375</v>
      </c>
      <c r="B115" s="1" t="s">
        <v>376</v>
      </c>
      <c r="C115" s="2" t="str">
        <f>VLOOKUP(A115,'Plano de Contas'!B:E,4,FALSE)</f>
        <v>RESCISOES A PAGAR</v>
      </c>
    </row>
    <row r="116" spans="1:3" x14ac:dyDescent="0.35">
      <c r="A116" s="2" t="s">
        <v>377</v>
      </c>
      <c r="B116" s="1" t="s">
        <v>378</v>
      </c>
      <c r="C116" s="2" t="str">
        <f>VLOOKUP(A116,'Plano de Contas'!B:E,4,FALSE)</f>
        <v>13 SALARIO A PAGAR</v>
      </c>
    </row>
    <row r="117" spans="1:3" x14ac:dyDescent="0.35">
      <c r="A117" s="2" t="s">
        <v>379</v>
      </c>
      <c r="B117" s="1" t="s">
        <v>380</v>
      </c>
      <c r="C117" s="2" t="str">
        <f>VLOOKUP(A117,'Plano de Contas'!B:E,4,FALSE)</f>
        <v>PENSAO ALIMENTICIA A PAGAR</v>
      </c>
    </row>
    <row r="118" spans="1:3" x14ac:dyDescent="0.35">
      <c r="A118" s="1" t="s">
        <v>379</v>
      </c>
      <c r="B118" s="1" t="s">
        <v>381</v>
      </c>
      <c r="C118" s="2" t="str">
        <f>VLOOKUP(A118,'Plano de Contas'!B:E,4,FALSE)</f>
        <v>PENSAO ALIMENTICIA A PAGAR</v>
      </c>
    </row>
    <row r="119" spans="1:3" x14ac:dyDescent="0.35">
      <c r="A119" s="2" t="s">
        <v>382</v>
      </c>
      <c r="B119" s="1" t="s">
        <v>383</v>
      </c>
      <c r="C119" s="2" t="str">
        <f>VLOOKUP(A119,'Plano de Contas'!B:E,4,FALSE)</f>
        <v>OBRIGACOES SOCIAIS</v>
      </c>
    </row>
    <row r="120" spans="1:3" x14ac:dyDescent="0.35">
      <c r="A120" s="2" t="s">
        <v>384</v>
      </c>
      <c r="B120" s="1" t="s">
        <v>385</v>
      </c>
      <c r="C120" s="2" t="str">
        <f>VLOOKUP(A120,'Plano de Contas'!B:E,4,FALSE)</f>
        <v>F.G.T.S. A RECOLHER</v>
      </c>
    </row>
    <row r="121" spans="1:3" x14ac:dyDescent="0.35">
      <c r="A121" s="2" t="s">
        <v>386</v>
      </c>
      <c r="B121" s="1" t="s">
        <v>387</v>
      </c>
      <c r="C121" s="2" t="str">
        <f>VLOOKUP(A121,'Plano de Contas'!B:E,4,FALSE)</f>
        <v>I.N.S.S. A RECOLHER</v>
      </c>
    </row>
    <row r="122" spans="1:3" x14ac:dyDescent="0.35">
      <c r="A122" s="2" t="s">
        <v>388</v>
      </c>
      <c r="B122" s="1" t="s">
        <v>389</v>
      </c>
      <c r="C122" s="2" t="str">
        <f>VLOOKUP(A122,'Plano de Contas'!B:E,4,FALSE)</f>
        <v>P.I.S. A RECOLHER</v>
      </c>
    </row>
    <row r="123" spans="1:3" x14ac:dyDescent="0.35">
      <c r="A123" s="2" t="s">
        <v>390</v>
      </c>
      <c r="B123" s="1" t="s">
        <v>391</v>
      </c>
      <c r="C123" s="2" t="str">
        <f>VLOOKUP(A123,'Plano de Contas'!B:E,4,FALSE)</f>
        <v>OBRIGACOES FISCAIS</v>
      </c>
    </row>
    <row r="124" spans="1:3" x14ac:dyDescent="0.35">
      <c r="A124" s="2" t="s">
        <v>392</v>
      </c>
      <c r="B124" s="1" t="s">
        <v>393</v>
      </c>
      <c r="C124" s="2" t="str">
        <f>VLOOKUP(A124,'Plano de Contas'!B:E,4,FALSE)</f>
        <v>I.S.S. A RECOLHER</v>
      </c>
    </row>
    <row r="125" spans="1:3" x14ac:dyDescent="0.35">
      <c r="A125" s="2" t="s">
        <v>394</v>
      </c>
      <c r="B125" s="1" t="s">
        <v>395</v>
      </c>
      <c r="C125" s="2" t="str">
        <f>VLOOKUP(A125,'Plano de Contas'!B:E,4,FALSE)</f>
        <v>I.R.R.F. A RECOLHER</v>
      </c>
    </row>
    <row r="126" spans="1:3" x14ac:dyDescent="0.35">
      <c r="A126" s="2" t="s">
        <v>396</v>
      </c>
      <c r="B126" s="1" t="s">
        <v>397</v>
      </c>
      <c r="C126" s="2" t="str">
        <f>VLOOKUP(A126,'Plano de Contas'!B:E,4,FALSE)</f>
        <v>COFINS, PIS E CSSL A RECOLHER</v>
      </c>
    </row>
    <row r="127" spans="1:3" x14ac:dyDescent="0.35">
      <c r="A127" s="1" t="s">
        <v>396</v>
      </c>
      <c r="B127" s="1" t="s">
        <v>398</v>
      </c>
      <c r="C127" s="2" t="str">
        <f>VLOOKUP(A127,'Plano de Contas'!B:E,4,FALSE)</f>
        <v>COFINS, PIS E CSSL A RECOLHER</v>
      </c>
    </row>
    <row r="128" spans="1:3" x14ac:dyDescent="0.35">
      <c r="A128" s="2" t="s">
        <v>399</v>
      </c>
      <c r="B128" s="1" t="s">
        <v>400</v>
      </c>
      <c r="C128" s="2" t="str">
        <f>VLOOKUP(A128,'Plano de Contas'!B:E,4,FALSE)</f>
        <v>INSS PJ RETIDO NA FONTE</v>
      </c>
    </row>
    <row r="129" spans="1:3" x14ac:dyDescent="0.35">
      <c r="A129" s="2" t="s">
        <v>401</v>
      </c>
      <c r="B129" s="1" t="s">
        <v>402</v>
      </c>
      <c r="C129" s="2" t="str">
        <f>VLOOKUP(A129,'Plano de Contas'!B:E,4,FALSE)</f>
        <v>I.R.R.F. A RECOLHER SOBRE FOPAG</v>
      </c>
    </row>
    <row r="130" spans="1:3" x14ac:dyDescent="0.35">
      <c r="A130" s="1" t="s">
        <v>401</v>
      </c>
      <c r="B130" s="1" t="s">
        <v>403</v>
      </c>
      <c r="C130" s="2" t="str">
        <f>VLOOKUP(A130,'Plano de Contas'!B:E,4,FALSE)</f>
        <v>I.R.R.F. A RECOLHER SOBRE FOPAG</v>
      </c>
    </row>
    <row r="131" spans="1:3" x14ac:dyDescent="0.35">
      <c r="A131" s="2" t="s">
        <v>404</v>
      </c>
      <c r="B131" s="1" t="s">
        <v>405</v>
      </c>
      <c r="C131" s="2" t="str">
        <f>VLOOKUP(A131,'Plano de Contas'!B:E,4,FALSE)</f>
        <v>OUTRAS OBRIGACOES</v>
      </c>
    </row>
    <row r="132" spans="1:3" x14ac:dyDescent="0.35">
      <c r="A132" s="2" t="s">
        <v>406</v>
      </c>
      <c r="B132" s="1" t="s">
        <v>407</v>
      </c>
      <c r="C132" s="2" t="str">
        <f>VLOOKUP(A132,'Plano de Contas'!B:E,4,FALSE)</f>
        <v>ALUGUEIS A PAGAR</v>
      </c>
    </row>
    <row r="133" spans="1:3" x14ac:dyDescent="0.35">
      <c r="A133" s="2" t="s">
        <v>408</v>
      </c>
      <c r="B133" s="1" t="s">
        <v>409</v>
      </c>
      <c r="C133" s="2" t="str">
        <f>VLOOKUP(A133,'Plano de Contas'!B:E,4,FALSE)</f>
        <v>CONTAS A PAGAR</v>
      </c>
    </row>
    <row r="134" spans="1:3" x14ac:dyDescent="0.35">
      <c r="A134" s="2" t="s">
        <v>410</v>
      </c>
      <c r="B134" s="1" t="s">
        <v>411</v>
      </c>
      <c r="C134" s="2" t="str">
        <f>VLOOKUP(A134,'Plano de Contas'!B:E,4,FALSE)</f>
        <v>PROVISOES</v>
      </c>
    </row>
    <row r="135" spans="1:3" x14ac:dyDescent="0.35">
      <c r="A135" s="2" t="s">
        <v>412</v>
      </c>
      <c r="B135" s="1" t="s">
        <v>413</v>
      </c>
      <c r="C135" s="2" t="str">
        <f>VLOOKUP(A135,'Plano de Contas'!B:E,4,FALSE)</f>
        <v>PROVISAO PARA   13 SALARIO</v>
      </c>
    </row>
    <row r="136" spans="1:3" x14ac:dyDescent="0.35">
      <c r="A136" s="1" t="s">
        <v>412</v>
      </c>
      <c r="B136" s="1" t="s">
        <v>414</v>
      </c>
      <c r="C136" s="2" t="str">
        <f>VLOOKUP(A136,'Plano de Contas'!B:E,4,FALSE)</f>
        <v>PROVISAO PARA   13 SALARIO</v>
      </c>
    </row>
    <row r="137" spans="1:3" x14ac:dyDescent="0.35">
      <c r="A137" s="2" t="s">
        <v>415</v>
      </c>
      <c r="B137" s="1" t="s">
        <v>416</v>
      </c>
      <c r="C137" s="2" t="str">
        <f>VLOOKUP(A137,'Plano de Contas'!B:E,4,FALSE)</f>
        <v>PROVISAO PARA   FERIAS</v>
      </c>
    </row>
    <row r="138" spans="1:3" x14ac:dyDescent="0.35">
      <c r="A138" s="1" t="s">
        <v>415</v>
      </c>
      <c r="B138" s="1" t="s">
        <v>417</v>
      </c>
      <c r="C138" s="2" t="str">
        <f>VLOOKUP(A138,'Plano de Contas'!B:E,4,FALSE)</f>
        <v>PROVISAO PARA   FERIAS</v>
      </c>
    </row>
    <row r="139" spans="1:3" x14ac:dyDescent="0.35">
      <c r="A139" s="2" t="s">
        <v>418</v>
      </c>
      <c r="B139" s="1" t="s">
        <v>419</v>
      </c>
      <c r="C139" s="2" t="str">
        <f>VLOOKUP(A139,'Plano de Contas'!B:E,4,FALSE)</f>
        <v>PROVISAO PARA   ENCARGOS SOCIAIS - 13º SALARIO</v>
      </c>
    </row>
    <row r="140" spans="1:3" x14ac:dyDescent="0.35">
      <c r="A140" s="1" t="s">
        <v>418</v>
      </c>
      <c r="B140" s="1" t="s">
        <v>420</v>
      </c>
      <c r="C140" s="2" t="str">
        <f>VLOOKUP(A140,'Plano de Contas'!B:E,4,FALSE)</f>
        <v>PROVISAO PARA   ENCARGOS SOCIAIS - 13º SALARIO</v>
      </c>
    </row>
    <row r="141" spans="1:3" x14ac:dyDescent="0.35">
      <c r="A141" s="2" t="s">
        <v>421</v>
      </c>
      <c r="B141" s="1" t="s">
        <v>422</v>
      </c>
      <c r="C141" s="2" t="str">
        <f>VLOOKUP(A141,'Plano de Contas'!B:E,4,FALSE)</f>
        <v>PROVISÃO PARA ENCARGOS SOCIAIS - FERIAS</v>
      </c>
    </row>
    <row r="142" spans="1:3" x14ac:dyDescent="0.35">
      <c r="A142" s="1" t="s">
        <v>421</v>
      </c>
      <c r="B142" s="1" t="s">
        <v>423</v>
      </c>
      <c r="C142" s="2" t="str">
        <f>VLOOKUP(A142,'Plano de Contas'!B:E,4,FALSE)</f>
        <v>PROVISÃO PARA ENCARGOS SOCIAIS - FERIAS</v>
      </c>
    </row>
    <row r="143" spans="1:3" x14ac:dyDescent="0.35">
      <c r="A143" s="2" t="s">
        <v>424</v>
      </c>
      <c r="B143" s="1" t="s">
        <v>425</v>
      </c>
      <c r="C143" s="2" t="str">
        <f>VLOOKUP(A143,'Plano de Contas'!B:E,4,FALSE)</f>
        <v>PASSIVO NAO CIRCULANTE</v>
      </c>
    </row>
    <row r="144" spans="1:3" x14ac:dyDescent="0.35">
      <c r="A144" s="2" t="s">
        <v>426</v>
      </c>
      <c r="B144" s="1" t="s">
        <v>427</v>
      </c>
      <c r="C144" s="2" t="str">
        <f>VLOOKUP(A144,'Plano de Contas'!B:E,4,FALSE)</f>
        <v>PASSIVO NAO CIRCULANTE - SAUDE</v>
      </c>
    </row>
    <row r="145" spans="1:3" x14ac:dyDescent="0.35">
      <c r="A145" s="1" t="s">
        <v>426</v>
      </c>
      <c r="B145" s="1" t="s">
        <v>428</v>
      </c>
      <c r="C145" s="2" t="str">
        <f>VLOOKUP(A145,'Plano de Contas'!B:E,4,FALSE)</f>
        <v>PASSIVO NAO CIRCULANTE - SAUDE</v>
      </c>
    </row>
    <row r="146" spans="1:3" x14ac:dyDescent="0.35">
      <c r="A146" s="2" t="s">
        <v>429</v>
      </c>
      <c r="B146" s="1" t="s">
        <v>430</v>
      </c>
      <c r="C146" s="2" t="str">
        <f>VLOOKUP(A146,'Plano de Contas'!B:E,4,FALSE)</f>
        <v>RECEITAS DIFERIDAS - SAUDE</v>
      </c>
    </row>
    <row r="147" spans="1:3" x14ac:dyDescent="0.35">
      <c r="A147" s="1" t="s">
        <v>429</v>
      </c>
      <c r="B147" s="1" t="s">
        <v>431</v>
      </c>
      <c r="C147" s="2" t="str">
        <f>VLOOKUP(A147,'Plano de Contas'!B:E,4,FALSE)</f>
        <v>RECEITAS DIFERIDAS - SAUDE</v>
      </c>
    </row>
    <row r="148" spans="1:3" x14ac:dyDescent="0.35">
      <c r="A148" s="2" t="s">
        <v>432</v>
      </c>
      <c r="B148" s="1" t="s">
        <v>433</v>
      </c>
      <c r="C148" s="2" t="str">
        <f>VLOOKUP(A148,'Plano de Contas'!B:E,4,FALSE)</f>
        <v>RECEITAS DIFERIDAS</v>
      </c>
    </row>
    <row r="149" spans="1:3" x14ac:dyDescent="0.35">
      <c r="A149" s="2" t="s">
        <v>434</v>
      </c>
      <c r="B149" s="1" t="s">
        <v>435</v>
      </c>
      <c r="C149" s="2" t="str">
        <f>VLOOKUP(A149,'Plano de Contas'!B:E,4,FALSE)</f>
        <v>BENS PUBLICOS EM NOSSO PODER LP</v>
      </c>
    </row>
    <row r="150" spans="1:3" x14ac:dyDescent="0.35">
      <c r="A150" s="1" t="s">
        <v>434</v>
      </c>
      <c r="B150" s="1" t="s">
        <v>436</v>
      </c>
      <c r="C150" s="2" t="str">
        <f>VLOOKUP(A150,'Plano de Contas'!B:E,4,FALSE)</f>
        <v>BENS PUBLICOS EM NOSSO PODER LP</v>
      </c>
    </row>
    <row r="151" spans="1:3" x14ac:dyDescent="0.35">
      <c r="A151" s="2" t="s">
        <v>437</v>
      </c>
      <c r="B151" s="1" t="s">
        <v>438</v>
      </c>
      <c r="C151" s="2" t="str">
        <f>VLOOKUP(A151,'Plano de Contas'!B:E,4,FALSE)</f>
        <v>PATRIMONIO</v>
      </c>
    </row>
    <row r="152" spans="1:3" x14ac:dyDescent="0.35">
      <c r="A152" s="2" t="s">
        <v>439</v>
      </c>
      <c r="B152" s="1" t="s">
        <v>440</v>
      </c>
      <c r="C152" s="2" t="str">
        <f>VLOOKUP(A152,'Plano de Contas'!B:E,4,FALSE)</f>
        <v>PATRIMONIO - SAUDE</v>
      </c>
    </row>
    <row r="153" spans="1:3" x14ac:dyDescent="0.35">
      <c r="A153" s="2" t="s">
        <v>441</v>
      </c>
      <c r="B153" s="1" t="s">
        <v>442</v>
      </c>
      <c r="C153" s="2" t="str">
        <f>VLOOKUP(A153,'Plano de Contas'!B:E,4,FALSE)</f>
        <v>PATRIMONIO LIQUIDO - SAUDE</v>
      </c>
    </row>
    <row r="154" spans="1:3" x14ac:dyDescent="0.35">
      <c r="A154" s="1" t="s">
        <v>441</v>
      </c>
      <c r="B154" s="1" t="s">
        <v>443</v>
      </c>
      <c r="C154" s="2" t="str">
        <f>VLOOKUP(A154,'Plano de Contas'!B:E,4,FALSE)</f>
        <v>PATRIMONIO LIQUIDO - SAUDE</v>
      </c>
    </row>
    <row r="155" spans="1:3" x14ac:dyDescent="0.35">
      <c r="A155" s="2" t="s">
        <v>444</v>
      </c>
      <c r="B155" s="1" t="s">
        <v>445</v>
      </c>
      <c r="C155" s="2" t="str">
        <f>VLOOKUP(A155,'Plano de Contas'!B:E,4,FALSE)</f>
        <v>PATRIMONIO LIQUIDO</v>
      </c>
    </row>
    <row r="156" spans="1:3" x14ac:dyDescent="0.35">
      <c r="A156" s="2" t="s">
        <v>446</v>
      </c>
      <c r="B156" s="1" t="s">
        <v>447</v>
      </c>
      <c r="C156" s="2" t="str">
        <f>VLOOKUP(A156,'Plano de Contas'!B:E,4,FALSE)</f>
        <v>PATRIMONIO SOCIAL</v>
      </c>
    </row>
    <row r="157" spans="1:3" x14ac:dyDescent="0.35">
      <c r="A157" s="1" t="s">
        <v>448</v>
      </c>
      <c r="B157" s="1" t="s">
        <v>449</v>
      </c>
      <c r="C157" s="2" t="str">
        <f>VLOOKUP(A157,'Plano de Contas'!B:E,4,FALSE)</f>
        <v>RESERVA DE SUPERAVITS COM RESTRICOES</v>
      </c>
    </row>
    <row r="158" spans="1:3" x14ac:dyDescent="0.35">
      <c r="A158" s="2" t="s">
        <v>450</v>
      </c>
      <c r="B158" s="1" t="s">
        <v>451</v>
      </c>
      <c r="C158" s="2" t="str">
        <f>VLOOKUP(A158,'Plano de Contas'!B:E,4,FALSE)</f>
        <v>RECEITAS - SAUDE</v>
      </c>
    </row>
    <row r="159" spans="1:3" x14ac:dyDescent="0.35">
      <c r="A159" s="2" t="s">
        <v>452</v>
      </c>
      <c r="B159" s="1" t="s">
        <v>453</v>
      </c>
      <c r="C159" s="2" t="str">
        <f>VLOOKUP(A159,'Plano de Contas'!B:E,4,FALSE)</f>
        <v>RECEITAS - HOSPITAIS</v>
      </c>
    </row>
    <row r="160" spans="1:3" x14ac:dyDescent="0.35">
      <c r="A160" s="2" t="s">
        <v>454</v>
      </c>
      <c r="B160" s="1" t="s">
        <v>455</v>
      </c>
      <c r="C160" s="2" t="str">
        <f>VLOOKUP(A160,'Plano de Contas'!B:E,4,FALSE)</f>
        <v>OUTRAS RECEITAS OPERACIONAIS</v>
      </c>
    </row>
    <row r="161" spans="1:3" x14ac:dyDescent="0.35">
      <c r="A161" s="1" t="s">
        <v>454</v>
      </c>
      <c r="B161" s="1" t="s">
        <v>456</v>
      </c>
      <c r="C161" s="2" t="str">
        <f>VLOOKUP(A161,'Plano de Contas'!B:E,4,FALSE)</f>
        <v>OUTRAS RECEITAS OPERACIONAIS</v>
      </c>
    </row>
    <row r="162" spans="1:3" x14ac:dyDescent="0.35">
      <c r="A162" s="2" t="s">
        <v>457</v>
      </c>
      <c r="B162" s="1" t="s">
        <v>458</v>
      </c>
      <c r="C162" s="2" t="str">
        <f>VLOOKUP(A162,'Plano de Contas'!B:E,4,FALSE)</f>
        <v>RECEITAS COM CONTRATOS DE GESTAO</v>
      </c>
    </row>
    <row r="163" spans="1:3" x14ac:dyDescent="0.35">
      <c r="A163" s="1" t="s">
        <v>457</v>
      </c>
      <c r="B163" s="1" t="s">
        <v>459</v>
      </c>
      <c r="C163" s="2" t="str">
        <f>VLOOKUP(A163,'Plano de Contas'!B:E,4,FALSE)</f>
        <v>RECEITAS COM CONTRATOS DE GESTAO</v>
      </c>
    </row>
    <row r="164" spans="1:3" x14ac:dyDescent="0.35">
      <c r="A164" s="2" t="s">
        <v>460</v>
      </c>
      <c r="B164" s="1" t="s">
        <v>461</v>
      </c>
      <c r="C164" s="2" t="str">
        <f>VLOOKUP(A164,'Plano de Contas'!B:E,4,FALSE)</f>
        <v>RECEITAS C/CONTRATO DE GESTAO - ESTADUAL</v>
      </c>
    </row>
    <row r="165" spans="1:3" x14ac:dyDescent="0.35">
      <c r="A165" s="1" t="s">
        <v>460</v>
      </c>
      <c r="B165" s="1" t="s">
        <v>462</v>
      </c>
      <c r="C165" s="2" t="str">
        <f>VLOOKUP(A165,'Plano de Contas'!B:E,4,FALSE)</f>
        <v>RECEITAS C/CONTRATO DE GESTAO - ESTADUAL</v>
      </c>
    </row>
    <row r="166" spans="1:3" x14ac:dyDescent="0.35">
      <c r="A166" s="2" t="s">
        <v>463</v>
      </c>
      <c r="B166" s="1" t="s">
        <v>464</v>
      </c>
      <c r="C166" s="2" t="str">
        <f>VLOOKUP(A166,'Plano de Contas'!B:E,4,FALSE)</f>
        <v>RECEITAS COM DEPRECIAÇÃO C/CONTRATO GESTÃO</v>
      </c>
    </row>
    <row r="167" spans="1:3" x14ac:dyDescent="0.35">
      <c r="A167" s="1" t="s">
        <v>463</v>
      </c>
      <c r="B167" s="1" t="s">
        <v>465</v>
      </c>
      <c r="C167" s="2" t="str">
        <f>VLOOKUP(A167,'Plano de Contas'!B:E,4,FALSE)</f>
        <v>RECEITAS COM DEPRECIAÇÃO C/CONTRATO GESTÃO</v>
      </c>
    </row>
    <row r="168" spans="1:3" x14ac:dyDescent="0.35">
      <c r="A168" s="2" t="s">
        <v>466</v>
      </c>
      <c r="B168" s="1" t="s">
        <v>467</v>
      </c>
      <c r="C168" s="2" t="str">
        <f>VLOOKUP(A168,'Plano de Contas'!B:E,4,FALSE)</f>
        <v>RECEITAS COM DOACOES</v>
      </c>
    </row>
    <row r="169" spans="1:3" x14ac:dyDescent="0.35">
      <c r="A169" s="2" t="s">
        <v>468</v>
      </c>
      <c r="B169" s="1" t="s">
        <v>469</v>
      </c>
      <c r="C169" s="2" t="str">
        <f>VLOOKUP(A169,'Plano de Contas'!B:E,4,FALSE)</f>
        <v>EM MATERIAIS - PJ</v>
      </c>
    </row>
    <row r="170" spans="1:3" x14ac:dyDescent="0.35">
      <c r="A170" s="2" t="s">
        <v>470</v>
      </c>
      <c r="B170" s="1" t="s">
        <v>471</v>
      </c>
      <c r="C170" s="2" t="str">
        <f>VLOOKUP(A170,'Plano de Contas'!B:E,4,FALSE)</f>
        <v>RECEITAS DIVERSAS</v>
      </c>
    </row>
    <row r="171" spans="1:3" x14ac:dyDescent="0.35">
      <c r="A171" s="2" t="s">
        <v>472</v>
      </c>
      <c r="B171" s="1" t="s">
        <v>473</v>
      </c>
      <c r="C171" s="2" t="str">
        <f>VLOOKUP(A171,'Plano de Contas'!B:E,4,FALSE)</f>
        <v>RECUPERACAO DE DESP. C/ PESSOAL</v>
      </c>
    </row>
    <row r="172" spans="1:3" x14ac:dyDescent="0.35">
      <c r="A172" s="1" t="s">
        <v>472</v>
      </c>
      <c r="B172" s="1" t="s">
        <v>474</v>
      </c>
      <c r="C172" s="2" t="str">
        <f>VLOOKUP(A172,'Plano de Contas'!B:E,4,FALSE)</f>
        <v>RECUPERACAO DE DESP. C/ PESSOAL</v>
      </c>
    </row>
    <row r="173" spans="1:3" x14ac:dyDescent="0.35">
      <c r="A173" s="2" t="s">
        <v>475</v>
      </c>
      <c r="B173" s="1" t="s">
        <v>476</v>
      </c>
      <c r="C173" s="2" t="str">
        <f>VLOOKUP(A173,'Plano de Contas'!B:E,4,FALSE)</f>
        <v>RECEITAS FINANCEIRAS</v>
      </c>
    </row>
    <row r="174" spans="1:3" x14ac:dyDescent="0.35">
      <c r="A174" s="2" t="s">
        <v>477</v>
      </c>
      <c r="B174" s="1" t="s">
        <v>476</v>
      </c>
      <c r="C174" s="2" t="str">
        <f>VLOOKUP(A174,'Plano de Contas'!B:E,4,FALSE)</f>
        <v>RECEITAS FINANCEIRAS</v>
      </c>
    </row>
    <row r="175" spans="1:3" x14ac:dyDescent="0.35">
      <c r="A175" s="1" t="s">
        <v>478</v>
      </c>
      <c r="B175" s="1" t="s">
        <v>479</v>
      </c>
      <c r="C175" s="2" t="str">
        <f>VLOOKUP(A175,'Plano de Contas'!B:E,4,FALSE)</f>
        <v>DESCONTO FINANCEIRO OBTIDO</v>
      </c>
    </row>
    <row r="176" spans="1:3" x14ac:dyDescent="0.35">
      <c r="A176" s="2" t="s">
        <v>480</v>
      </c>
      <c r="B176" s="1" t="s">
        <v>481</v>
      </c>
      <c r="C176" s="2" t="str">
        <f>VLOOKUP(A176,'Plano de Contas'!B:E,4,FALSE)</f>
        <v>RENDIM. APLICACOES FINANCEIRAS</v>
      </c>
    </row>
    <row r="177" spans="1:3" x14ac:dyDescent="0.35">
      <c r="A177" s="1" t="s">
        <v>480</v>
      </c>
      <c r="B177" s="1" t="s">
        <v>482</v>
      </c>
      <c r="C177" s="2" t="str">
        <f>VLOOKUP(A177,'Plano de Contas'!B:E,4,FALSE)</f>
        <v>RENDIM. APLICACOES FINANCEIRAS</v>
      </c>
    </row>
    <row r="178" spans="1:3" x14ac:dyDescent="0.35">
      <c r="A178" s="2" t="s">
        <v>58</v>
      </c>
      <c r="B178" s="1" t="s">
        <v>59</v>
      </c>
      <c r="C178" s="2" t="str">
        <f>VLOOKUP(A178,'Plano de Contas'!B:E,4,FALSE)</f>
        <v>DESPESAS - SAUDE</v>
      </c>
    </row>
    <row r="179" spans="1:3" x14ac:dyDescent="0.35">
      <c r="A179" s="2" t="s">
        <v>60</v>
      </c>
      <c r="B179" s="1" t="s">
        <v>61</v>
      </c>
      <c r="C179" s="2" t="str">
        <f>VLOOKUP(A179,'Plano de Contas'!B:E,4,FALSE)</f>
        <v>DESPESAS - HOSPITAIS</v>
      </c>
    </row>
    <row r="180" spans="1:3" x14ac:dyDescent="0.35">
      <c r="A180" s="2" t="s">
        <v>62</v>
      </c>
      <c r="B180" s="1" t="s">
        <v>63</v>
      </c>
      <c r="C180" s="2" t="str">
        <f>VLOOKUP(A180,'Plano de Contas'!B:E,4,FALSE)</f>
        <v>CUSTOS - SAUDE</v>
      </c>
    </row>
    <row r="181" spans="1:3" x14ac:dyDescent="0.35">
      <c r="A181" s="2" t="s">
        <v>64</v>
      </c>
      <c r="B181" s="1" t="s">
        <v>65</v>
      </c>
      <c r="C181" s="2" t="str">
        <f>VLOOKUP(A181,'Plano de Contas'!B:E,4,FALSE)</f>
        <v>PESSOAL SERV. PROPRIOS</v>
      </c>
    </row>
    <row r="182" spans="1:3" x14ac:dyDescent="0.35">
      <c r="A182" s="2" t="s">
        <v>66</v>
      </c>
      <c r="B182" s="1" t="s">
        <v>15</v>
      </c>
      <c r="C182" s="2" t="str">
        <f>VLOOKUP(A182,'Plano de Contas'!B:E,4,FALSE)</f>
        <v>ORDENADOS</v>
      </c>
    </row>
    <row r="183" spans="1:3" x14ac:dyDescent="0.35">
      <c r="A183" s="2" t="s">
        <v>67</v>
      </c>
      <c r="B183" s="1" t="s">
        <v>19</v>
      </c>
      <c r="C183" s="2" t="str">
        <f>VLOOKUP(A183,'Plano de Contas'!B:E,4,FALSE)</f>
        <v>13 SALARIO</v>
      </c>
    </row>
    <row r="184" spans="1:3" x14ac:dyDescent="0.35">
      <c r="A184" s="2" t="s">
        <v>69</v>
      </c>
      <c r="B184" s="1" t="s">
        <v>23</v>
      </c>
      <c r="C184" s="2" t="str">
        <f>VLOOKUP(A184,'Plano de Contas'!B:E,4,FALSE)</f>
        <v>INDENIZACAO E AVISOS PREVIOS</v>
      </c>
    </row>
    <row r="185" spans="1:3" x14ac:dyDescent="0.35">
      <c r="A185" s="1" t="s">
        <v>69</v>
      </c>
      <c r="B185" s="1" t="s">
        <v>483</v>
      </c>
      <c r="C185" s="2" t="str">
        <f>VLOOKUP(A185,'Plano de Contas'!B:E,4,FALSE)</f>
        <v>INDENIZACAO E AVISOS PREVIOS</v>
      </c>
    </row>
    <row r="186" spans="1:3" x14ac:dyDescent="0.35">
      <c r="A186" s="2" t="s">
        <v>70</v>
      </c>
      <c r="B186" s="1" t="s">
        <v>11</v>
      </c>
      <c r="C186" s="2" t="str">
        <f>VLOOKUP(A186,'Plano de Contas'!B:E,4,FALSE)</f>
        <v>CONTRIBUICOES AO FGTS</v>
      </c>
    </row>
    <row r="187" spans="1:3" x14ac:dyDescent="0.35">
      <c r="A187" s="2" t="s">
        <v>71</v>
      </c>
      <c r="B187" s="1" t="s">
        <v>12</v>
      </c>
      <c r="C187" s="2" t="str">
        <f>VLOOKUP(A187,'Plano de Contas'!B:E,4,FALSE)</f>
        <v>CONTRIBUICOES AO PIS</v>
      </c>
    </row>
    <row r="188" spans="1:3" x14ac:dyDescent="0.35">
      <c r="A188" s="2" t="s">
        <v>72</v>
      </c>
      <c r="B188" s="1" t="s">
        <v>18</v>
      </c>
      <c r="C188" s="2" t="str">
        <f>VLOOKUP(A188,'Plano de Contas'!B:E,4,FALSE)</f>
        <v>VALE TRANSPORTE</v>
      </c>
    </row>
    <row r="189" spans="1:3" x14ac:dyDescent="0.35">
      <c r="A189" s="2" t="s">
        <v>73</v>
      </c>
      <c r="B189" s="1" t="s">
        <v>10</v>
      </c>
      <c r="C189" s="2" t="str">
        <f>VLOOKUP(A189,'Plano de Contas'!B:E,4,FALSE)</f>
        <v>CONTRIBUICAO PATRONAL - INSS</v>
      </c>
    </row>
    <row r="190" spans="1:3" x14ac:dyDescent="0.35">
      <c r="A190" s="1" t="s">
        <v>73</v>
      </c>
      <c r="B190" s="1" t="s">
        <v>484</v>
      </c>
      <c r="C190" s="2" t="str">
        <f>VLOOKUP(A190,'Plano de Contas'!B:E,4,FALSE)</f>
        <v>CONTRIBUICAO PATRONAL - INSS</v>
      </c>
    </row>
    <row r="191" spans="1:3" x14ac:dyDescent="0.35">
      <c r="A191" s="2" t="s">
        <v>485</v>
      </c>
      <c r="B191" s="1" t="s">
        <v>160</v>
      </c>
      <c r="C191" s="2" t="str">
        <f>VLOOKUP(A191,'Plano de Contas'!B:E,4,FALSE)</f>
        <v>UNIFORMES</v>
      </c>
    </row>
    <row r="192" spans="1:3" x14ac:dyDescent="0.35">
      <c r="A192" s="2" t="s">
        <v>75</v>
      </c>
      <c r="B192" s="1" t="s">
        <v>16</v>
      </c>
      <c r="C192" s="2" t="str">
        <f>VLOOKUP(A192,'Plano de Contas'!B:E,4,FALSE)</f>
        <v>SEGURO ACIDENTE DE TRABALHO</v>
      </c>
    </row>
    <row r="193" spans="1:3" x14ac:dyDescent="0.35">
      <c r="A193" s="1" t="s">
        <v>75</v>
      </c>
      <c r="B193" s="1" t="s">
        <v>486</v>
      </c>
      <c r="C193" s="2" t="str">
        <f>VLOOKUP(A193,'Plano de Contas'!B:E,4,FALSE)</f>
        <v>SEGURO ACIDENTE DE TRABALHO</v>
      </c>
    </row>
    <row r="194" spans="1:3" x14ac:dyDescent="0.35">
      <c r="A194" s="2" t="s">
        <v>76</v>
      </c>
      <c r="B194" s="1" t="s">
        <v>159</v>
      </c>
      <c r="C194" s="2" t="str">
        <f>VLOOKUP(A194,'Plano de Contas'!B:E,4,FALSE)</f>
        <v>COTA TERCEIROS ( SESC, SENAC, INCRA )</v>
      </c>
    </row>
    <row r="195" spans="1:3" x14ac:dyDescent="0.35">
      <c r="A195" s="1" t="s">
        <v>76</v>
      </c>
      <c r="B195" s="1" t="s">
        <v>487</v>
      </c>
      <c r="C195" s="2" t="str">
        <f>VLOOKUP(A195,'Plano de Contas'!B:E,4,FALSE)</f>
        <v>COTA TERCEIROS ( SESC, SENAC, INCRA )</v>
      </c>
    </row>
    <row r="196" spans="1:3" x14ac:dyDescent="0.35">
      <c r="A196" s="2" t="s">
        <v>77</v>
      </c>
      <c r="B196" s="1" t="s">
        <v>17</v>
      </c>
      <c r="C196" s="2" t="str">
        <f>VLOOKUP(A196,'Plano de Contas'!B:E,4,FALSE)</f>
        <v>VALE REFEICAO</v>
      </c>
    </row>
    <row r="197" spans="1:3" x14ac:dyDescent="0.35">
      <c r="A197" s="2" t="s">
        <v>488</v>
      </c>
      <c r="B197" s="1" t="s">
        <v>161</v>
      </c>
      <c r="C197" s="2" t="str">
        <f>VLOOKUP(A197,'Plano de Contas'!B:E,4,FALSE)</f>
        <v>HORAS EXTRAS</v>
      </c>
    </row>
    <row r="198" spans="1:3" x14ac:dyDescent="0.35">
      <c r="A198" s="2" t="s">
        <v>92</v>
      </c>
      <c r="B198" s="1" t="s">
        <v>81</v>
      </c>
      <c r="C198" s="2" t="str">
        <f>VLOOKUP(A198,'Plano de Contas'!B:E,4,FALSE)</f>
        <v>PESSOAL SERVICOS TERCEIROS</v>
      </c>
    </row>
    <row r="199" spans="1:3" x14ac:dyDescent="0.35">
      <c r="A199" s="1" t="s">
        <v>92</v>
      </c>
      <c r="B199" s="1" t="s">
        <v>489</v>
      </c>
      <c r="C199" s="2" t="str">
        <f>VLOOKUP(A199,'Plano de Contas'!B:E,4,FALSE)</f>
        <v>PESSOAL SERVICOS TERCEIROS</v>
      </c>
    </row>
    <row r="200" spans="1:3" x14ac:dyDescent="0.35">
      <c r="A200" s="2" t="s">
        <v>490</v>
      </c>
      <c r="B200" s="1" t="s">
        <v>175</v>
      </c>
      <c r="C200" s="2" t="str">
        <f>VLOOKUP(A200,'Plano de Contas'!B:E,4,FALSE)</f>
        <v>SERV. MEDICOS PESSOAS JURIDICAS</v>
      </c>
    </row>
    <row r="201" spans="1:3" x14ac:dyDescent="0.35">
      <c r="A201" s="1" t="s">
        <v>490</v>
      </c>
      <c r="B201" s="1" t="s">
        <v>491</v>
      </c>
      <c r="C201" s="2" t="str">
        <f>VLOOKUP(A201,'Plano de Contas'!B:E,4,FALSE)</f>
        <v>SERV. MEDICOS PESSOAS JURIDICAS</v>
      </c>
    </row>
    <row r="202" spans="1:3" x14ac:dyDescent="0.35">
      <c r="A202" s="2" t="s">
        <v>492</v>
      </c>
      <c r="B202" s="1" t="s">
        <v>170</v>
      </c>
      <c r="C202" s="2" t="str">
        <f>VLOOKUP(A202,'Plano de Contas'!B:E,4,FALSE)</f>
        <v>CONSULTORIA DE SISTEMA DE INFORMÁTICA</v>
      </c>
    </row>
    <row r="203" spans="1:3" x14ac:dyDescent="0.35">
      <c r="A203" s="1" t="s">
        <v>492</v>
      </c>
      <c r="B203" s="1" t="s">
        <v>493</v>
      </c>
      <c r="C203" s="2" t="str">
        <f>VLOOKUP(A203,'Plano de Contas'!B:E,4,FALSE)</f>
        <v>CONSULTORIA DE SISTEMA DE INFORMÁTICA</v>
      </c>
    </row>
    <row r="204" spans="1:3" x14ac:dyDescent="0.35">
      <c r="A204" s="2" t="s">
        <v>494</v>
      </c>
      <c r="B204" s="1" t="s">
        <v>173</v>
      </c>
      <c r="C204" s="2" t="str">
        <f>VLOOKUP(A204,'Plano de Contas'!B:E,4,FALSE)</f>
        <v>MANUTENÇÃO DE EQUIPAMENTOS E SISTEMAS</v>
      </c>
    </row>
    <row r="205" spans="1:3" x14ac:dyDescent="0.35">
      <c r="A205" s="1" t="s">
        <v>494</v>
      </c>
      <c r="B205" s="1" t="s">
        <v>495</v>
      </c>
      <c r="C205" s="2" t="str">
        <f>VLOOKUP(A205,'Plano de Contas'!B:E,4,FALSE)</f>
        <v>MANUTENÇÃO DE EQUIPAMENTOS E SISTEMAS</v>
      </c>
    </row>
    <row r="206" spans="1:3" x14ac:dyDescent="0.35">
      <c r="A206" s="2" t="s">
        <v>496</v>
      </c>
      <c r="B206" s="1" t="s">
        <v>172</v>
      </c>
      <c r="C206" s="2" t="str">
        <f>VLOOKUP(A206,'Plano de Contas'!B:E,4,FALSE)</f>
        <v>LIMPEZA, CONSERVAÇÃO E REMOÇÃO DE LIXO</v>
      </c>
    </row>
    <row r="207" spans="1:3" x14ac:dyDescent="0.35">
      <c r="A207" s="1" t="s">
        <v>496</v>
      </c>
      <c r="B207" s="1" t="s">
        <v>497</v>
      </c>
      <c r="C207" s="2" t="str">
        <f>VLOOKUP(A207,'Plano de Contas'!B:E,4,FALSE)</f>
        <v>LIMPEZA, CONSERVAÇÃO E REMOÇÃO DE LIXO</v>
      </c>
    </row>
    <row r="208" spans="1:3" x14ac:dyDescent="0.35">
      <c r="A208" s="2" t="s">
        <v>498</v>
      </c>
      <c r="B208" s="1" t="s">
        <v>171</v>
      </c>
      <c r="C208" s="2" t="str">
        <f>VLOOKUP(A208,'Plano de Contas'!B:E,4,FALSE)</f>
        <v>LAVANDERIA</v>
      </c>
    </row>
    <row r="209" spans="1:3" x14ac:dyDescent="0.35">
      <c r="A209" s="2" t="s">
        <v>499</v>
      </c>
      <c r="B209" s="1" t="s">
        <v>168</v>
      </c>
      <c r="C209" s="2" t="str">
        <f>VLOOKUP(A209,'Plano de Contas'!B:E,4,FALSE)</f>
        <v>AMBULÂNCIA</v>
      </c>
    </row>
    <row r="210" spans="1:3" x14ac:dyDescent="0.35">
      <c r="A210" s="3" t="s">
        <v>93</v>
      </c>
      <c r="B210" s="1" t="s">
        <v>169</v>
      </c>
      <c r="C210" s="2" t="str">
        <f>VLOOKUP(A210,'Plano de Contas'!B:E,4,FALSE)</f>
        <v>ASSESSORIA EMPRESARIAL E SERVIÇOS ADMINISTRATIVOS</v>
      </c>
    </row>
    <row r="211" spans="1:3" x14ac:dyDescent="0.35">
      <c r="A211" s="1" t="s">
        <v>93</v>
      </c>
      <c r="B211" s="1" t="s">
        <v>500</v>
      </c>
      <c r="C211" s="2" t="str">
        <f>VLOOKUP(A211,'Plano de Contas'!B:E,4,FALSE)</f>
        <v>ASSESSORIA EMPRESARIAL E SERVIÇOS ADMINISTRATIVOS</v>
      </c>
    </row>
    <row r="212" spans="1:3" x14ac:dyDescent="0.35">
      <c r="A212" s="2" t="s">
        <v>501</v>
      </c>
      <c r="B212" s="1" t="s">
        <v>174</v>
      </c>
      <c r="C212" s="2" t="str">
        <f>VLOOKUP(A212,'Plano de Contas'!B:E,4,FALSE)</f>
        <v>SERVIÇOS TÉCNICOS DE SAÚDE - PJ</v>
      </c>
    </row>
    <row r="213" spans="1:3" x14ac:dyDescent="0.35">
      <c r="A213" s="1" t="s">
        <v>501</v>
      </c>
      <c r="B213" s="1" t="s">
        <v>502</v>
      </c>
      <c r="C213" s="2" t="str">
        <f>VLOOKUP(A213,'Plano de Contas'!B:E,4,FALSE)</f>
        <v>SERVIÇOS TÉCNICOS DE SAÚDE - PJ</v>
      </c>
    </row>
    <row r="214" spans="1:3" x14ac:dyDescent="0.35">
      <c r="A214" s="2" t="s">
        <v>503</v>
      </c>
      <c r="B214" s="1" t="s">
        <v>504</v>
      </c>
      <c r="C214" s="2" t="str">
        <f>VLOOKUP(A214,'Plano de Contas'!B:E,4,FALSE)</f>
        <v>MATERIAIS E MEDICAMENTOS</v>
      </c>
    </row>
    <row r="215" spans="1:3" x14ac:dyDescent="0.35">
      <c r="A215" s="1" t="s">
        <v>503</v>
      </c>
      <c r="B215" s="1" t="s">
        <v>505</v>
      </c>
      <c r="C215" s="2" t="str">
        <f>VLOOKUP(A215,'Plano de Contas'!B:E,4,FALSE)</f>
        <v>MATERIAIS E MEDICAMENTOS</v>
      </c>
    </row>
    <row r="216" spans="1:3" x14ac:dyDescent="0.35">
      <c r="A216" s="2" t="s">
        <v>249</v>
      </c>
      <c r="B216" s="1" t="s">
        <v>163</v>
      </c>
      <c r="C216" s="2" t="str">
        <f>VLOOKUP(A216,'Plano de Contas'!B:E,4,FALSE)</f>
        <v>DROGAS E MEDICAMENTOS</v>
      </c>
    </row>
    <row r="217" spans="1:3" x14ac:dyDescent="0.35">
      <c r="A217" s="2" t="s">
        <v>251</v>
      </c>
      <c r="B217" s="1" t="s">
        <v>506</v>
      </c>
      <c r="C217" s="2" t="str">
        <f>VLOOKUP(A217,'Plano de Contas'!B:E,4,FALSE)</f>
        <v>MAT. DE USO DO PACIENTE</v>
      </c>
    </row>
    <row r="218" spans="1:3" x14ac:dyDescent="0.35">
      <c r="A218" s="2" t="s">
        <v>260</v>
      </c>
      <c r="B218" s="1" t="s">
        <v>162</v>
      </c>
      <c r="C218" s="2" t="str">
        <f>VLOOKUP(A218,'Plano de Contas'!B:E,4,FALSE)</f>
        <v>CENTRO DE MATERIAL ESTERILIZADO</v>
      </c>
    </row>
    <row r="219" spans="1:3" x14ac:dyDescent="0.35">
      <c r="A219" s="1" t="s">
        <v>260</v>
      </c>
      <c r="B219" s="1" t="s">
        <v>248</v>
      </c>
      <c r="C219" s="2" t="str">
        <f>VLOOKUP(A219,'Plano de Contas'!B:E,4,FALSE)</f>
        <v>CENTRO DE MATERIAL ESTERILIZADO</v>
      </c>
    </row>
    <row r="220" spans="1:3" x14ac:dyDescent="0.35">
      <c r="A220" s="2" t="s">
        <v>268</v>
      </c>
      <c r="B220" s="1" t="s">
        <v>164</v>
      </c>
      <c r="C220" s="2" t="str">
        <f>VLOOKUP(A220,'Plano de Contas'!B:E,4,FALSE)</f>
        <v>GASES MEDICINAIS</v>
      </c>
    </row>
    <row r="221" spans="1:3" x14ac:dyDescent="0.35">
      <c r="A221" s="2" t="s">
        <v>262</v>
      </c>
      <c r="B221" s="1" t="s">
        <v>507</v>
      </c>
      <c r="C221" s="2" t="str">
        <f>VLOOKUP(A221,'Plano de Contas'!B:E,4,FALSE)</f>
        <v>OPME - ORTESES PROTESES E MATERIAIS ESPECIAIS</v>
      </c>
    </row>
    <row r="222" spans="1:3" x14ac:dyDescent="0.35">
      <c r="A222" s="1" t="s">
        <v>262</v>
      </c>
      <c r="B222" s="1" t="s">
        <v>508</v>
      </c>
      <c r="C222" s="2" t="str">
        <f>VLOOKUP(A222,'Plano de Contas'!B:E,4,FALSE)</f>
        <v>OPME - ORTESES PROTESES E MATERIAIS ESPECIAIS</v>
      </c>
    </row>
    <row r="223" spans="1:3" x14ac:dyDescent="0.35">
      <c r="A223" s="2" t="s">
        <v>252</v>
      </c>
      <c r="B223" s="1" t="s">
        <v>24</v>
      </c>
      <c r="C223" s="2" t="str">
        <f>VLOOKUP(A223,'Plano de Contas'!B:E,4,FALSE)</f>
        <v>GENEROS ALIMENTICIOS</v>
      </c>
    </row>
    <row r="224" spans="1:3" x14ac:dyDescent="0.35">
      <c r="A224" s="2" t="s">
        <v>257</v>
      </c>
      <c r="B224" s="1" t="s">
        <v>509</v>
      </c>
      <c r="C224" s="2" t="str">
        <f>VLOOKUP(A224,'Plano de Contas'!B:E,4,FALSE)</f>
        <v>IMPRESSOS E MATER. EXPEDIENTE</v>
      </c>
    </row>
    <row r="225" spans="1:3" x14ac:dyDescent="0.35">
      <c r="A225" s="1" t="s">
        <v>257</v>
      </c>
      <c r="B225" s="1" t="s">
        <v>510</v>
      </c>
      <c r="C225" s="2" t="str">
        <f>VLOOKUP(A225,'Plano de Contas'!B:E,4,FALSE)</f>
        <v>IMPRESSOS E MATER. EXPEDIENTE</v>
      </c>
    </row>
    <row r="226" spans="1:3" x14ac:dyDescent="0.35">
      <c r="A226" s="2" t="s">
        <v>254</v>
      </c>
      <c r="B226" s="1" t="s">
        <v>511</v>
      </c>
      <c r="C226" s="2" t="str">
        <f>VLOOKUP(A226,'Plano de Contas'!B:E,4,FALSE)</f>
        <v>MATERIAIS DE LIMPEZA / DESCARTAVEIS</v>
      </c>
    </row>
    <row r="227" spans="1:3" x14ac:dyDescent="0.35">
      <c r="A227" s="1" t="s">
        <v>254</v>
      </c>
      <c r="B227" s="1" t="s">
        <v>512</v>
      </c>
      <c r="C227" s="2" t="str">
        <f>VLOOKUP(A227,'Plano de Contas'!B:E,4,FALSE)</f>
        <v>MATERIAIS DE LIMPEZA / DESCARTAVEIS</v>
      </c>
    </row>
    <row r="228" spans="1:3" x14ac:dyDescent="0.35">
      <c r="A228" s="3" t="s">
        <v>255</v>
      </c>
      <c r="B228" s="1" t="s">
        <v>26</v>
      </c>
      <c r="C228" s="2" t="str">
        <f>VLOOKUP(A228,'Plano de Contas'!B:E,4,FALSE)</f>
        <v>MATERIAIS DE MANUTENCAO</v>
      </c>
    </row>
    <row r="229" spans="1:3" x14ac:dyDescent="0.35">
      <c r="A229" s="2" t="s">
        <v>265</v>
      </c>
      <c r="B229" s="1" t="s">
        <v>80</v>
      </c>
      <c r="C229" s="2" t="str">
        <f>VLOOKUP(A229,'Plano de Contas'!B:E,4,FALSE)</f>
        <v>EQUIPAMENTOS DE PROTECAO</v>
      </c>
    </row>
    <row r="230" spans="1:3" x14ac:dyDescent="0.35">
      <c r="A230" s="1" t="s">
        <v>265</v>
      </c>
      <c r="B230" s="1" t="s">
        <v>253</v>
      </c>
      <c r="C230" s="2" t="str">
        <f>VLOOKUP(A230,'Plano de Contas'!B:E,4,FALSE)</f>
        <v>EQUIPAMENTOS DE PROTECAO</v>
      </c>
    </row>
    <row r="231" spans="1:3" x14ac:dyDescent="0.35">
      <c r="A231" s="2" t="s">
        <v>94</v>
      </c>
      <c r="B231" s="1" t="s">
        <v>95</v>
      </c>
      <c r="C231" s="2" t="str">
        <f>VLOOKUP(A231,'Plano de Contas'!B:E,4,FALSE)</f>
        <v>GERAIS</v>
      </c>
    </row>
    <row r="232" spans="1:3" x14ac:dyDescent="0.35">
      <c r="A232" s="2" t="s">
        <v>513</v>
      </c>
      <c r="B232" s="1" t="s">
        <v>35</v>
      </c>
      <c r="C232" s="2" t="str">
        <f>VLOOKUP(A232,'Plano de Contas'!B:E,4,FALSE)</f>
        <v>ENERGIA ELETRICA</v>
      </c>
    </row>
    <row r="233" spans="1:3" x14ac:dyDescent="0.35">
      <c r="A233" s="2" t="s">
        <v>514</v>
      </c>
      <c r="B233" s="1" t="s">
        <v>31</v>
      </c>
      <c r="C233" s="2" t="str">
        <f>VLOOKUP(A233,'Plano de Contas'!B:E,4,FALSE)</f>
        <v>AGUA</v>
      </c>
    </row>
    <row r="234" spans="1:3" x14ac:dyDescent="0.35">
      <c r="A234" s="2" t="s">
        <v>515</v>
      </c>
      <c r="B234" s="1" t="s">
        <v>36</v>
      </c>
      <c r="C234" s="2" t="str">
        <f>VLOOKUP(A234,'Plano de Contas'!B:E,4,FALSE)</f>
        <v>TELEFONE</v>
      </c>
    </row>
    <row r="235" spans="1:3" x14ac:dyDescent="0.35">
      <c r="A235" s="2" t="s">
        <v>516</v>
      </c>
      <c r="B235" s="1" t="s">
        <v>37</v>
      </c>
      <c r="C235" s="2" t="str">
        <f>VLOOKUP(A235,'Plano de Contas'!B:E,4,FALSE)</f>
        <v>VIAGENS, AJUDA DE CUSTOS E DIARIAS</v>
      </c>
    </row>
    <row r="236" spans="1:3" x14ac:dyDescent="0.35">
      <c r="A236" s="1" t="s">
        <v>516</v>
      </c>
      <c r="B236" s="1" t="s">
        <v>517</v>
      </c>
      <c r="C236" s="2" t="str">
        <f>VLOOKUP(A236,'Plano de Contas'!B:E,4,FALSE)</f>
        <v>VIAGENS, AJUDA DE CUSTOS E DIARIAS</v>
      </c>
    </row>
    <row r="237" spans="1:3" x14ac:dyDescent="0.35">
      <c r="A237" s="2" t="s">
        <v>518</v>
      </c>
      <c r="B237" s="1" t="s">
        <v>34</v>
      </c>
      <c r="C237" s="2" t="str">
        <f>VLOOKUP(A237,'Plano de Contas'!B:E,4,FALSE)</f>
        <v>CORREIOS E TELEGRAFOS</v>
      </c>
    </row>
    <row r="238" spans="1:3" x14ac:dyDescent="0.35">
      <c r="A238" s="2" t="s">
        <v>519</v>
      </c>
      <c r="B238" s="1" t="s">
        <v>520</v>
      </c>
      <c r="C238" s="2" t="str">
        <f>VLOOKUP(A238,'Plano de Contas'!B:E,4,FALSE)</f>
        <v>PERDAS DIVERSAS</v>
      </c>
    </row>
    <row r="239" spans="1:3" x14ac:dyDescent="0.35">
      <c r="A239" s="2" t="s">
        <v>521</v>
      </c>
      <c r="B239" s="1" t="s">
        <v>522</v>
      </c>
      <c r="C239" s="2" t="str">
        <f>VLOOKUP(A239,'Plano de Contas'!B:E,4,FALSE)</f>
        <v>DEPRECIACOES</v>
      </c>
    </row>
    <row r="240" spans="1:3" x14ac:dyDescent="0.35">
      <c r="A240" s="2" t="s">
        <v>523</v>
      </c>
      <c r="B240" s="1" t="s">
        <v>524</v>
      </c>
      <c r="C240" s="2" t="str">
        <f>VLOOKUP(A240,'Plano de Contas'!B:E,4,FALSE)</f>
        <v>AMORTIZACOES</v>
      </c>
    </row>
    <row r="241" spans="1:3" x14ac:dyDescent="0.35">
      <c r="A241" s="2" t="s">
        <v>525</v>
      </c>
      <c r="B241" s="1" t="s">
        <v>526</v>
      </c>
      <c r="C241" s="2" t="str">
        <f>VLOOKUP(A241,'Plano de Contas'!B:E,4,FALSE)</f>
        <v>PERDAS EM ESTOQUES</v>
      </c>
    </row>
    <row r="242" spans="1:3" x14ac:dyDescent="0.35">
      <c r="A242" s="2" t="s">
        <v>527</v>
      </c>
      <c r="B242" s="1" t="s">
        <v>177</v>
      </c>
      <c r="C242" s="2" t="str">
        <f>VLOOKUP(A242,'Plano de Contas'!B:E,4,FALSE)</f>
        <v>ALUGUÉIS DE EQUIPAMENTOS MÉDICOS</v>
      </c>
    </row>
    <row r="243" spans="1:3" x14ac:dyDescent="0.35">
      <c r="A243" s="1" t="s">
        <v>527</v>
      </c>
      <c r="B243" s="1" t="s">
        <v>528</v>
      </c>
      <c r="C243" s="2" t="str">
        <f>VLOOKUP(A243,'Plano de Contas'!B:E,4,FALSE)</f>
        <v>ALUGUÉIS DE EQUIPAMENTOS MÉDICOS</v>
      </c>
    </row>
    <row r="244" spans="1:3" x14ac:dyDescent="0.35">
      <c r="A244" s="2" t="s">
        <v>529</v>
      </c>
      <c r="B244" s="1" t="s">
        <v>176</v>
      </c>
      <c r="C244" s="2" t="str">
        <f>VLOOKUP(A244,'Plano de Contas'!B:E,4,FALSE)</f>
        <v>ALUGUÉIS DE BENS MÓVEIS, VEÍCULOS E SISTEMAS</v>
      </c>
    </row>
    <row r="245" spans="1:3" x14ac:dyDescent="0.35">
      <c r="A245" s="1" t="s">
        <v>529</v>
      </c>
      <c r="B245" s="1" t="s">
        <v>530</v>
      </c>
      <c r="C245" s="2" t="str">
        <f>VLOOKUP(A245,'Plano de Contas'!B:E,4,FALSE)</f>
        <v>ALUGUÉIS DE BENS MÓVEIS, VEÍCULOS E SISTEMAS</v>
      </c>
    </row>
    <row r="246" spans="1:3" x14ac:dyDescent="0.35">
      <c r="A246" s="2" t="s">
        <v>104</v>
      </c>
      <c r="B246" s="1" t="s">
        <v>78</v>
      </c>
      <c r="C246" s="2" t="str">
        <f>VLOOKUP(A246,'Plano de Contas'!B:E,4,FALSE)</f>
        <v>PROV. PARA   CUSTOS DO EXERCICIO</v>
      </c>
    </row>
    <row r="247" spans="1:3" x14ac:dyDescent="0.35">
      <c r="A247" s="1" t="s">
        <v>104</v>
      </c>
      <c r="B247" s="1" t="s">
        <v>531</v>
      </c>
      <c r="C247" s="2" t="str">
        <f>VLOOKUP(A247,'Plano de Contas'!B:E,4,FALSE)</f>
        <v>PROV. PARA   CUSTOS DO EXERCICIO</v>
      </c>
    </row>
    <row r="248" spans="1:3" x14ac:dyDescent="0.35">
      <c r="A248" s="2" t="s">
        <v>106</v>
      </c>
      <c r="B248" s="1" t="s">
        <v>19</v>
      </c>
      <c r="C248" s="2" t="str">
        <f>VLOOKUP(A248,'Plano de Contas'!B:E,4,FALSE)</f>
        <v>13 SALARIO</v>
      </c>
    </row>
    <row r="249" spans="1:3" x14ac:dyDescent="0.35">
      <c r="A249" s="2" t="s">
        <v>107</v>
      </c>
      <c r="B249" s="1" t="s">
        <v>20</v>
      </c>
      <c r="C249" s="2" t="str">
        <f>VLOOKUP(A249,'Plano de Contas'!B:E,4,FALSE)</f>
        <v>FERIAS</v>
      </c>
    </row>
    <row r="250" spans="1:3" x14ac:dyDescent="0.35">
      <c r="A250" s="2" t="s">
        <v>108</v>
      </c>
      <c r="B250" s="1" t="s">
        <v>21</v>
      </c>
      <c r="C250" s="2" t="str">
        <f>VLOOKUP(A250,'Plano de Contas'!B:E,4,FALSE)</f>
        <v>ENCARGOS SOCIAIS - 13º SALARIO</v>
      </c>
    </row>
    <row r="251" spans="1:3" x14ac:dyDescent="0.35">
      <c r="A251" s="1" t="s">
        <v>108</v>
      </c>
      <c r="B251" s="1" t="s">
        <v>532</v>
      </c>
      <c r="C251" s="2" t="str">
        <f>VLOOKUP(A251,'Plano de Contas'!B:E,4,FALSE)</f>
        <v>ENCARGOS SOCIAIS - 13º SALARIO</v>
      </c>
    </row>
    <row r="252" spans="1:3" x14ac:dyDescent="0.35">
      <c r="A252" s="2" t="s">
        <v>109</v>
      </c>
      <c r="B252" s="1" t="s">
        <v>22</v>
      </c>
      <c r="C252" s="2" t="str">
        <f>VLOOKUP(A252,'Plano de Contas'!B:E,4,FALSE)</f>
        <v>ENCARGOS SOCIAIS - FERIAS</v>
      </c>
    </row>
    <row r="253" spans="1:3" x14ac:dyDescent="0.35">
      <c r="A253" s="2" t="s">
        <v>96</v>
      </c>
      <c r="B253" s="1" t="s">
        <v>97</v>
      </c>
      <c r="C253" s="2" t="str">
        <f>VLOOKUP(A253,'Plano de Contas'!B:E,4,FALSE)</f>
        <v>IMPOSTOS, TAXAS E CONTRIBUICOES</v>
      </c>
    </row>
    <row r="254" spans="1:3" x14ac:dyDescent="0.35">
      <c r="A254" s="1" t="s">
        <v>96</v>
      </c>
      <c r="B254" s="1" t="s">
        <v>533</v>
      </c>
      <c r="C254" s="2" t="str">
        <f>VLOOKUP(A254,'Plano de Contas'!B:E,4,FALSE)</f>
        <v>IMPOSTOS, TAXAS E CONTRIBUICOES</v>
      </c>
    </row>
    <row r="255" spans="1:3" x14ac:dyDescent="0.35">
      <c r="A255" s="2" t="s">
        <v>534</v>
      </c>
      <c r="B255" s="1" t="s">
        <v>178</v>
      </c>
      <c r="C255" s="2" t="str">
        <f>VLOOKUP(A255,'Plano de Contas'!B:E,4,FALSE)</f>
        <v>CONTRIB. ASSOCIACAO DE CLASSE</v>
      </c>
    </row>
    <row r="256" spans="1:3" x14ac:dyDescent="0.35">
      <c r="A256" s="1" t="s">
        <v>534</v>
      </c>
      <c r="B256" s="1" t="s">
        <v>535</v>
      </c>
      <c r="C256" s="2" t="str">
        <f>VLOOKUP(A256,'Plano de Contas'!B:E,4,FALSE)</f>
        <v>CONTRIB. ASSOCIACAO DE CLASSE</v>
      </c>
    </row>
    <row r="257" spans="1:3" x14ac:dyDescent="0.35">
      <c r="A257" s="2" t="s">
        <v>110</v>
      </c>
      <c r="B257" s="1" t="s">
        <v>111</v>
      </c>
      <c r="C257" s="2" t="str">
        <f>VLOOKUP(A257,'Plano de Contas'!B:E,4,FALSE)</f>
        <v>DESPESAS FINANCEIRAS</v>
      </c>
    </row>
    <row r="258" spans="1:3" x14ac:dyDescent="0.35">
      <c r="A258" s="2" t="s">
        <v>112</v>
      </c>
      <c r="B258" s="1" t="s">
        <v>40</v>
      </c>
      <c r="C258" s="2" t="str">
        <f>VLOOKUP(A258,'Plano de Contas'!B:E,4,FALSE)</f>
        <v>JUROS E CORRECAO MONETARIA</v>
      </c>
    </row>
    <row r="259" spans="1:3" x14ac:dyDescent="0.35">
      <c r="A259" s="1" t="s">
        <v>112</v>
      </c>
      <c r="B259" s="1" t="s">
        <v>536</v>
      </c>
      <c r="C259" s="2" t="str">
        <f>VLOOKUP(A259,'Plano de Contas'!B:E,4,FALSE)</f>
        <v>JUROS E CORRECAO MONETARIA</v>
      </c>
    </row>
    <row r="260" spans="1:3" x14ac:dyDescent="0.35">
      <c r="A260" s="2" t="s">
        <v>537</v>
      </c>
      <c r="B260" s="1" t="s">
        <v>38</v>
      </c>
      <c r="C260" s="2" t="str">
        <f>VLOOKUP(A260,'Plano de Contas'!B:E,4,FALSE)</f>
        <v>COMISSOES E DESPESAS BANCARIAS</v>
      </c>
    </row>
    <row r="261" spans="1:3" x14ac:dyDescent="0.35">
      <c r="A261" s="53" t="s">
        <v>207</v>
      </c>
      <c r="B261" s="52" t="s">
        <v>538</v>
      </c>
      <c r="C261" s="52" t="s">
        <v>538</v>
      </c>
    </row>
    <row r="262" spans="1:3" x14ac:dyDescent="0.35">
      <c r="A262" s="53" t="s">
        <v>539</v>
      </c>
      <c r="B262" s="52" t="s">
        <v>540</v>
      </c>
      <c r="C262" s="52" t="s">
        <v>540</v>
      </c>
    </row>
    <row r="263" spans="1:3" x14ac:dyDescent="0.35">
      <c r="A263" s="53" t="s">
        <v>541</v>
      </c>
      <c r="B263" s="52" t="s">
        <v>538</v>
      </c>
      <c r="C263" s="52" t="s">
        <v>538</v>
      </c>
    </row>
    <row r="264" spans="1:3" x14ac:dyDescent="0.35">
      <c r="A264" s="53" t="s">
        <v>542</v>
      </c>
      <c r="B264" s="52" t="s">
        <v>543</v>
      </c>
      <c r="C264" s="2" t="str">
        <f>VLOOKUP(A264,'Plano de Contas'!B:E,4,FALSE)</f>
        <v>ADIANTAMENTO DE 13 SALARIO</v>
      </c>
    </row>
    <row r="265" spans="1:3" x14ac:dyDescent="0.35">
      <c r="A265" s="53" t="s">
        <v>544</v>
      </c>
      <c r="B265" s="52" t="s">
        <v>545</v>
      </c>
      <c r="C265" s="2" t="str">
        <f>VLOOKUP(A265,'Plano de Contas'!B:E,4,FALSE)</f>
        <v>SUBVENÇÕES E ASSITÊNCIA GOVERNAMENTAIS A REALIZAR</v>
      </c>
    </row>
    <row r="266" spans="1:3" x14ac:dyDescent="0.35">
      <c r="A266" s="53" t="s">
        <v>546</v>
      </c>
      <c r="B266" s="52" t="s">
        <v>547</v>
      </c>
      <c r="C266" s="2" t="str">
        <f>VLOOKUP(A266,'Plano de Contas'!B:E,4,FALSE)</f>
        <v>IMPOSTOS A RECUPERAR</v>
      </c>
    </row>
    <row r="267" spans="1:3" x14ac:dyDescent="0.35">
      <c r="A267" s="53" t="s">
        <v>548</v>
      </c>
      <c r="B267" s="52" t="s">
        <v>549</v>
      </c>
      <c r="C267" s="2" t="str">
        <f>VLOOKUP(A267,'Plano de Contas'!B:E,4,FALSE)</f>
        <v>IRRF A RECUPERAR</v>
      </c>
    </row>
    <row r="268" spans="1:3" x14ac:dyDescent="0.35">
      <c r="A268" s="53" t="s">
        <v>550</v>
      </c>
      <c r="B268" s="52" t="s">
        <v>551</v>
      </c>
      <c r="C268" s="2" t="str">
        <f>VLOOKUP(A268,'Plano de Contas'!B:E,4,FALSE)</f>
        <v>IRRF RETIDO S/ APLICACAO FINANCEIRA</v>
      </c>
    </row>
    <row r="269" spans="1:3" x14ac:dyDescent="0.35">
      <c r="A269" s="51">
        <v>2</v>
      </c>
      <c r="B269" s="52" t="s">
        <v>552</v>
      </c>
      <c r="C269" s="2" t="str">
        <f>VLOOKUP(A269,'Plano de Contas'!B:E,4,FALSE)</f>
        <v>PASSIVO</v>
      </c>
    </row>
    <row r="270" spans="1:3" x14ac:dyDescent="0.35">
      <c r="A270" s="53" t="s">
        <v>386</v>
      </c>
      <c r="B270" s="52" t="s">
        <v>553</v>
      </c>
      <c r="C270" s="2" t="str">
        <f>VLOOKUP(A270,'Plano de Contas'!B:E,4,FALSE)</f>
        <v>I.N.S.S. A RECOLHER</v>
      </c>
    </row>
    <row r="271" spans="1:3" x14ac:dyDescent="0.35">
      <c r="A271" s="53" t="s">
        <v>401</v>
      </c>
      <c r="B271" s="52" t="s">
        <v>554</v>
      </c>
      <c r="C271" s="2" t="str">
        <f>VLOOKUP(A271,'Plano de Contas'!B:E,4,FALSE)</f>
        <v>I.R.R.F. A RECOLHER SOBRE FOPAG</v>
      </c>
    </row>
    <row r="272" spans="1:3" x14ac:dyDescent="0.35">
      <c r="A272" s="53" t="s">
        <v>415</v>
      </c>
      <c r="B272" s="52" t="s">
        <v>555</v>
      </c>
      <c r="C272" s="2" t="str">
        <f>VLOOKUP(A272,'Plano de Contas'!B:E,4,FALSE)</f>
        <v>PROVISAO PARA   FERIAS</v>
      </c>
    </row>
    <row r="273" spans="1:3" x14ac:dyDescent="0.35">
      <c r="A273" s="53" t="s">
        <v>418</v>
      </c>
      <c r="B273" s="52" t="s">
        <v>556</v>
      </c>
      <c r="C273" s="2" t="str">
        <f>VLOOKUP(A273,'Plano de Contas'!B:E,4,FALSE)</f>
        <v>PROVISAO PARA   ENCARGOS SOCIAIS - 13º SALARIO</v>
      </c>
    </row>
    <row r="274" spans="1:3" x14ac:dyDescent="0.35">
      <c r="A274" s="53" t="s">
        <v>421</v>
      </c>
      <c r="B274" s="52" t="s">
        <v>557</v>
      </c>
      <c r="C274" s="2" t="str">
        <f>VLOOKUP(A274,'Plano de Contas'!B:E,4,FALSE)</f>
        <v>PROVISÃO PARA ENCARGOS SOCIAIS - FERIAS</v>
      </c>
    </row>
    <row r="275" spans="1:3" x14ac:dyDescent="0.35">
      <c r="A275" s="52" t="s">
        <v>558</v>
      </c>
      <c r="B275" s="52" t="s">
        <v>559</v>
      </c>
      <c r="C275" s="2" t="str">
        <f>VLOOKUP(A275,'Plano de Contas'!B:E,4,FALSE)</f>
        <v>SUBVENCAO E ASSISTENCIA GOVERNAMENTAIS A REALIZAR L.P</v>
      </c>
    </row>
    <row r="276" spans="1:3" x14ac:dyDescent="0.35">
      <c r="A276" s="52">
        <v>3</v>
      </c>
      <c r="B276" s="52" t="s">
        <v>560</v>
      </c>
      <c r="C276" s="2" t="str">
        <f>VLOOKUP(A276,'Plano de Contas'!B:E,4,FALSE)</f>
        <v>RECEITAS OPERACIONAIS</v>
      </c>
    </row>
    <row r="277" spans="1:3" x14ac:dyDescent="0.35">
      <c r="A277" s="53" t="s">
        <v>561</v>
      </c>
      <c r="B277" s="52" t="s">
        <v>562</v>
      </c>
      <c r="C277" s="2" t="str">
        <f>VLOOKUP(A277,'Plano de Contas'!B:E,4,FALSE)</f>
        <v>RECEITAS COM SUBVENCOES</v>
      </c>
    </row>
    <row r="278" spans="1:3" x14ac:dyDescent="0.35">
      <c r="A278" s="53" t="s">
        <v>563</v>
      </c>
      <c r="B278" s="52" t="s">
        <v>564</v>
      </c>
      <c r="C278" s="2" t="str">
        <f>VLOOKUP(A278,'Plano de Contas'!B:E,4,FALSE)</f>
        <v>ESTADUAL</v>
      </c>
    </row>
    <row r="279" spans="1:3" x14ac:dyDescent="0.35">
      <c r="A279" s="53">
        <v>4</v>
      </c>
      <c r="B279" s="52" t="s">
        <v>56</v>
      </c>
      <c r="C279" s="2" t="str">
        <f>VLOOKUP(A279,'Plano de Contas'!B:E,4,FALSE)</f>
        <v>CUSTOS E DESPESAS</v>
      </c>
    </row>
    <row r="280" spans="1:3" x14ac:dyDescent="0.35">
      <c r="A280" s="53" t="s">
        <v>68</v>
      </c>
      <c r="B280" s="52" t="s">
        <v>20</v>
      </c>
      <c r="C280" s="2" t="str">
        <f>VLOOKUP(A280,'Plano de Contas'!B:E,4,FALSE)</f>
        <v>FERIAS</v>
      </c>
    </row>
    <row r="281" spans="1:3" x14ac:dyDescent="0.35">
      <c r="A281" s="53" t="s">
        <v>74</v>
      </c>
      <c r="B281" s="52" t="s">
        <v>14</v>
      </c>
      <c r="C281" s="2" t="str">
        <f>VLOOKUP(A281,'Plano de Contas'!B:E,4,FALSE)</f>
        <v>GRATIFICACOES</v>
      </c>
    </row>
    <row r="282" spans="1:3" x14ac:dyDescent="0.35">
      <c r="A282" s="53" t="s">
        <v>76</v>
      </c>
      <c r="B282" s="52" t="s">
        <v>13</v>
      </c>
      <c r="C282" s="2" t="str">
        <f>VLOOKUP(A282,'Plano de Contas'!B:E,4,FALSE)</f>
        <v>COTA TERCEIROS ( SESC, SENAC, INCRA )</v>
      </c>
    </row>
    <row r="283" spans="1:3" x14ac:dyDescent="0.35">
      <c r="A283" s="54" t="s">
        <v>93</v>
      </c>
      <c r="B283" s="52" t="s">
        <v>565</v>
      </c>
      <c r="C283" s="2" t="str">
        <f>VLOOKUP(A283,'Plano de Contas'!B:E,4,FALSE)</f>
        <v>ASSESSORIA EMPRESARIAL E SERVIÇOS ADMINISTRATIVOS</v>
      </c>
    </row>
    <row r="284" spans="1:3" x14ac:dyDescent="0.35">
      <c r="A284" s="53" t="s">
        <v>98</v>
      </c>
      <c r="B284" s="52" t="s">
        <v>39</v>
      </c>
      <c r="C284" s="2" t="str">
        <f>VLOOKUP(A284,'Plano de Contas'!B:E,4,FALSE)</f>
        <v>ANUNCIOS E PUBLICIDADES</v>
      </c>
    </row>
    <row r="285" spans="1:3" x14ac:dyDescent="0.35">
      <c r="A285" s="53" t="s">
        <v>99</v>
      </c>
      <c r="B285" s="52" t="s">
        <v>100</v>
      </c>
      <c r="C285" s="2" t="s">
        <v>100</v>
      </c>
    </row>
    <row r="286" spans="1:3" x14ac:dyDescent="0.35">
      <c r="A286" s="53" t="s">
        <v>101</v>
      </c>
      <c r="B286" s="52" t="s">
        <v>102</v>
      </c>
      <c r="C286" s="52" t="s">
        <v>102</v>
      </c>
    </row>
    <row r="287" spans="1:3" x14ac:dyDescent="0.35">
      <c r="A287" s="53" t="s">
        <v>103</v>
      </c>
      <c r="B287" s="52" t="s">
        <v>41</v>
      </c>
      <c r="C287" s="2" t="str">
        <f>VLOOKUP(A287,'Plano de Contas'!B:E,4,FALSE)</f>
        <v>MULTAS</v>
      </c>
    </row>
    <row r="288" spans="1:3" x14ac:dyDescent="0.35">
      <c r="A288" s="53" t="s">
        <v>219</v>
      </c>
      <c r="B288" s="52" t="s">
        <v>566</v>
      </c>
      <c r="C288" s="2" t="str">
        <f>VLOOKUP(A288,'Plano de Contas'!B:E,4,FALSE)</f>
        <v>OUTROS ADIANTAMENTOS A FUNCIONARIOS</v>
      </c>
    </row>
    <row r="289" spans="1:3" x14ac:dyDescent="0.35">
      <c r="A289" s="53" t="s">
        <v>567</v>
      </c>
      <c r="B289" s="52" t="s">
        <v>223</v>
      </c>
      <c r="C289" s="52" t="s">
        <v>223</v>
      </c>
    </row>
    <row r="290" spans="1:3" x14ac:dyDescent="0.35">
      <c r="A290" s="53" t="s">
        <v>104</v>
      </c>
      <c r="B290" s="52" t="s">
        <v>105</v>
      </c>
      <c r="C290" s="2" t="str">
        <f>VLOOKUP(A290,'Plano de Contas'!B:E,4,FALSE)</f>
        <v>PROV. PARA   CUSTOS DO EXERCICIO</v>
      </c>
    </row>
    <row r="291" spans="1:3" x14ac:dyDescent="0.35">
      <c r="A291" s="53" t="s">
        <v>109</v>
      </c>
      <c r="B291" s="52" t="s">
        <v>568</v>
      </c>
      <c r="C291" s="2" t="str">
        <f>VLOOKUP(A291,'Plano de Contas'!B:E,4,FALSE)</f>
        <v>ENCARGOS SOCIAIS - FERIAS</v>
      </c>
    </row>
    <row r="292" spans="1:3" x14ac:dyDescent="0.35">
      <c r="A292" s="53" t="s">
        <v>569</v>
      </c>
      <c r="B292" s="52" t="s">
        <v>538</v>
      </c>
      <c r="C292" s="52" t="s">
        <v>538</v>
      </c>
    </row>
    <row r="293" spans="1:3" x14ac:dyDescent="0.35">
      <c r="A293" s="53" t="s">
        <v>570</v>
      </c>
      <c r="B293" s="52" t="s">
        <v>551</v>
      </c>
      <c r="C293" s="52" t="s">
        <v>551</v>
      </c>
    </row>
    <row r="294" spans="1:3" x14ac:dyDescent="0.35">
      <c r="A294" s="53" t="s">
        <v>571</v>
      </c>
      <c r="B294" s="52" t="s">
        <v>572</v>
      </c>
      <c r="C294" s="2" t="str">
        <f>VLOOKUP(A294,'Plano de Contas'!B:E,4,FALSE)</f>
        <v>RESULTADO DO EXERCICIO SUPERAVIT/DEFICIT</v>
      </c>
    </row>
    <row r="295" spans="1:3" x14ac:dyDescent="0.35">
      <c r="A295" s="53" t="s">
        <v>113</v>
      </c>
      <c r="B295" s="52" t="s">
        <v>30</v>
      </c>
      <c r="C295" s="52" t="s">
        <v>30</v>
      </c>
    </row>
    <row r="296" spans="1:3" x14ac:dyDescent="0.35">
      <c r="A296" s="53" t="s">
        <v>573</v>
      </c>
      <c r="B296" s="52" t="s">
        <v>100</v>
      </c>
      <c r="C296" s="52" t="s">
        <v>100</v>
      </c>
    </row>
    <row r="297" spans="1:3" x14ac:dyDescent="0.35">
      <c r="A297" s="55"/>
      <c r="B297" s="55"/>
      <c r="C297" s="2"/>
    </row>
    <row r="298" spans="1:3" x14ac:dyDescent="0.35">
      <c r="C298" s="2"/>
    </row>
    <row r="299" spans="1:3" x14ac:dyDescent="0.35">
      <c r="C299" s="2"/>
    </row>
  </sheetData>
  <sortState ref="AA80:AA130">
    <sortCondition ref="AA80:AA130"/>
  </sortState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Dados</vt:lpstr>
      <vt:lpstr>Proposta</vt:lpstr>
      <vt:lpstr>Processado 2</vt:lpstr>
      <vt:lpstr>Projeção</vt:lpstr>
      <vt:lpstr>Despesas</vt:lpstr>
      <vt:lpstr>Cargos </vt:lpstr>
      <vt:lpstr>Base %</vt:lpstr>
      <vt:lpstr>Encargos</vt:lpstr>
      <vt:lpstr>Tabela</vt:lpstr>
      <vt:lpstr>Plano de Contas</vt:lpstr>
      <vt:lpstr>Execução do PA iNOVA</vt:lpstr>
      <vt:lpstr>Balancete</vt:lpstr>
      <vt:lpstr>GRUPO</vt:lpstr>
      <vt:lpstr>GRUPOCLASSIFICA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Sossai Rigo</dc:creator>
  <cp:keywords/>
  <dc:description/>
  <cp:lastModifiedBy>Fabricia Pavesi Helmer</cp:lastModifiedBy>
  <cp:revision/>
  <dcterms:created xsi:type="dcterms:W3CDTF">2021-03-17T20:39:41Z</dcterms:created>
  <dcterms:modified xsi:type="dcterms:W3CDTF">2023-10-04T15:58:36Z</dcterms:modified>
  <cp:category/>
  <cp:contentStatus/>
</cp:coreProperties>
</file>